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45189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50844-2019.xlsx", "A 50844-2019")</f>
        <v/>
      </c>
      <c r="T2">
        <f>HYPERLINK("https://klasma.github.io/Logging_NYKOPING/kartor/A 50844-2019.png", "A 50844-2019")</f>
        <v/>
      </c>
      <c r="V2">
        <f>HYPERLINK("https://klasma.github.io/Logging_NYKOPING/klagomål/A 50844-2019.docx", "A 50844-2019")</f>
        <v/>
      </c>
      <c r="W2">
        <f>HYPERLINK("https://klasma.github.io/Logging_NYKOPING/klagomålsmail/A 50844-2019.docx", "A 50844-2019")</f>
        <v/>
      </c>
      <c r="X2">
        <f>HYPERLINK("https://klasma.github.io/Logging_NYKOPING/tillsyn/A 50844-2019.docx", "A 50844-2019")</f>
        <v/>
      </c>
      <c r="Y2">
        <f>HYPERLINK("https://klasma.github.io/Logging_NYKOPING/tillsynsmail/A 50844-2019.docx", "A 50844-2019")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45189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15726-2019.xlsx", "A 15726-2019")</f>
        <v/>
      </c>
      <c r="T3">
        <f>HYPERLINK("https://klasma.github.io/Logging_NYKOPING/kartor/A 15726-2019.png", "A 15726-2019")</f>
        <v/>
      </c>
      <c r="V3">
        <f>HYPERLINK("https://klasma.github.io/Logging_NYKOPING/klagomål/A 15726-2019.docx", "A 15726-2019")</f>
        <v/>
      </c>
      <c r="W3">
        <f>HYPERLINK("https://klasma.github.io/Logging_NYKOPING/klagomålsmail/A 15726-2019.docx", "A 15726-2019")</f>
        <v/>
      </c>
      <c r="X3">
        <f>HYPERLINK("https://klasma.github.io/Logging_NYKOPING/tillsyn/A 15726-2019.docx", "A 15726-2019")</f>
        <v/>
      </c>
      <c r="Y3">
        <f>HYPERLINK("https://klasma.github.io/Logging_NYKOPING/tillsynsmail/A 15726-2019.docx", "A 15726-2019")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45189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71887-2021.xlsx", "A 71887-2021")</f>
        <v/>
      </c>
      <c r="T4">
        <f>HYPERLINK("https://klasma.github.io/Logging_NYKOPING/kartor/A 71887-2021.png", "A 71887-2021")</f>
        <v/>
      </c>
      <c r="V4">
        <f>HYPERLINK("https://klasma.github.io/Logging_NYKOPING/klagomål/A 71887-2021.docx", "A 71887-2021")</f>
        <v/>
      </c>
      <c r="W4">
        <f>HYPERLINK("https://klasma.github.io/Logging_NYKOPING/klagomålsmail/A 71887-2021.docx", "A 71887-2021")</f>
        <v/>
      </c>
      <c r="X4">
        <f>HYPERLINK("https://klasma.github.io/Logging_NYKOPING/tillsyn/A 71887-2021.docx", "A 71887-2021")</f>
        <v/>
      </c>
      <c r="Y4">
        <f>HYPERLINK("https://klasma.github.io/Logging_NYKOPING/tillsynsmail/A 71887-2021.docx", "A 71887-2021")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45189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30892-2020.xlsx", "A 30892-2020")</f>
        <v/>
      </c>
      <c r="T5">
        <f>HYPERLINK("https://klasma.github.io/Logging_NYKOPING/kartor/A 30892-2020.png", "A 30892-2020")</f>
        <v/>
      </c>
      <c r="V5">
        <f>HYPERLINK("https://klasma.github.io/Logging_NYKOPING/klagomål/A 30892-2020.docx", "A 30892-2020")</f>
        <v/>
      </c>
      <c r="W5">
        <f>HYPERLINK("https://klasma.github.io/Logging_NYKOPING/klagomålsmail/A 30892-2020.docx", "A 30892-2020")</f>
        <v/>
      </c>
      <c r="X5">
        <f>HYPERLINK("https://klasma.github.io/Logging_NYKOPING/tillsyn/A 30892-2020.docx", "A 30892-2020")</f>
        <v/>
      </c>
      <c r="Y5">
        <f>HYPERLINK("https://klasma.github.io/Logging_NYKOPING/tillsynsmail/A 30892-2020.docx", "A 30892-2020")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45189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44162-2021.xlsx", "A 44162-2021")</f>
        <v/>
      </c>
      <c r="T6">
        <f>HYPERLINK("https://klasma.github.io/Logging_NYKOPING/kartor/A 44162-2021.png", "A 44162-2021")</f>
        <v/>
      </c>
      <c r="V6">
        <f>HYPERLINK("https://klasma.github.io/Logging_NYKOPING/klagomål/A 44162-2021.docx", "A 44162-2021")</f>
        <v/>
      </c>
      <c r="W6">
        <f>HYPERLINK("https://klasma.github.io/Logging_NYKOPING/klagomålsmail/A 44162-2021.docx", "A 44162-2021")</f>
        <v/>
      </c>
      <c r="X6">
        <f>HYPERLINK("https://klasma.github.io/Logging_NYKOPING/tillsyn/A 44162-2021.docx", "A 44162-2021")</f>
        <v/>
      </c>
      <c r="Y6">
        <f>HYPERLINK("https://klasma.github.io/Logging_NYKOPING/tillsynsmail/A 44162-2021.docx", "A 44162-2021")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45189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12018-2023.xlsx", "A 12018-2023")</f>
        <v/>
      </c>
      <c r="T7">
        <f>HYPERLINK("https://klasma.github.io/Logging_NYKOPING/kartor/A 12018-2023.png", "A 12018-2023")</f>
        <v/>
      </c>
      <c r="V7">
        <f>HYPERLINK("https://klasma.github.io/Logging_NYKOPING/klagomål/A 12018-2023.docx", "A 12018-2023")</f>
        <v/>
      </c>
      <c r="W7">
        <f>HYPERLINK("https://klasma.github.io/Logging_NYKOPING/klagomålsmail/A 12018-2023.docx", "A 12018-2023")</f>
        <v/>
      </c>
      <c r="X7">
        <f>HYPERLINK("https://klasma.github.io/Logging_NYKOPING/tillsyn/A 12018-2023.docx", "A 12018-2023")</f>
        <v/>
      </c>
      <c r="Y7">
        <f>HYPERLINK("https://klasma.github.io/Logging_NYKOPING/tillsynsmail/A 12018-2023.docx", "A 12018-2023")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45189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16133-2023.xlsx", "A 16133-2023")</f>
        <v/>
      </c>
      <c r="T8">
        <f>HYPERLINK("https://klasma.github.io/Logging_NYKOPING/kartor/A 16133-2023.png", "A 16133-2023")</f>
        <v/>
      </c>
      <c r="V8">
        <f>HYPERLINK("https://klasma.github.io/Logging_NYKOPING/klagomål/A 16133-2023.docx", "A 16133-2023")</f>
        <v/>
      </c>
      <c r="W8">
        <f>HYPERLINK("https://klasma.github.io/Logging_NYKOPING/klagomålsmail/A 16133-2023.docx", "A 16133-2023")</f>
        <v/>
      </c>
      <c r="X8">
        <f>HYPERLINK("https://klasma.github.io/Logging_NYKOPING/tillsyn/A 16133-2023.docx", "A 16133-2023")</f>
        <v/>
      </c>
      <c r="Y8">
        <f>HYPERLINK("https://klasma.github.io/Logging_NYKOPING/tillsynsmail/A 16133-2023.docx", "A 16133-2023")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45189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42096-2022.xlsx", "A 42096-2022")</f>
        <v/>
      </c>
      <c r="T9">
        <f>HYPERLINK("https://klasma.github.io/Logging_NYKOPING/kartor/A 42096-2022.png", "A 42096-2022")</f>
        <v/>
      </c>
      <c r="U9">
        <f>HYPERLINK("https://klasma.github.io/Logging_NYKOPING/knärot/A 42096-2022.png", "A 42096-2022")</f>
        <v/>
      </c>
      <c r="V9">
        <f>HYPERLINK("https://klasma.github.io/Logging_NYKOPING/klagomål/A 42096-2022.docx", "A 42096-2022")</f>
        <v/>
      </c>
      <c r="W9">
        <f>HYPERLINK("https://klasma.github.io/Logging_NYKOPING/klagomålsmail/A 42096-2022.docx", "A 42096-2022")</f>
        <v/>
      </c>
      <c r="X9">
        <f>HYPERLINK("https://klasma.github.io/Logging_NYKOPING/tillsyn/A 42096-2022.docx", "A 42096-2022")</f>
        <v/>
      </c>
      <c r="Y9">
        <f>HYPERLINK("https://klasma.github.io/Logging_NYKOPING/tillsynsmail/A 42096-2022.docx", "A 42096-2022")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45189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19957-2020.xlsx", "A 19957-2020")</f>
        <v/>
      </c>
      <c r="T10">
        <f>HYPERLINK("https://klasma.github.io/Logging_NYKOPING/kartor/A 19957-2020.png", "A 19957-2020")</f>
        <v/>
      </c>
      <c r="V10">
        <f>HYPERLINK("https://klasma.github.io/Logging_NYKOPING/klagomål/A 19957-2020.docx", "A 19957-2020")</f>
        <v/>
      </c>
      <c r="W10">
        <f>HYPERLINK("https://klasma.github.io/Logging_NYKOPING/klagomålsmail/A 19957-2020.docx", "A 19957-2020")</f>
        <v/>
      </c>
      <c r="X10">
        <f>HYPERLINK("https://klasma.github.io/Logging_NYKOPING/tillsyn/A 19957-2020.docx", "A 19957-2020")</f>
        <v/>
      </c>
      <c r="Y10">
        <f>HYPERLINK("https://klasma.github.io/Logging_NYKOPING/tillsynsmail/A 19957-2020.docx", "A 19957-2020")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45189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30895-2020.xlsx", "A 30895-2020")</f>
        <v/>
      </c>
      <c r="T11">
        <f>HYPERLINK("https://klasma.github.io/Logging_NYKOPING/kartor/A 30895-2020.png", "A 30895-2020")</f>
        <v/>
      </c>
      <c r="V11">
        <f>HYPERLINK("https://klasma.github.io/Logging_NYKOPING/klagomål/A 30895-2020.docx", "A 30895-2020")</f>
        <v/>
      </c>
      <c r="W11">
        <f>HYPERLINK("https://klasma.github.io/Logging_NYKOPING/klagomålsmail/A 30895-2020.docx", "A 30895-2020")</f>
        <v/>
      </c>
      <c r="X11">
        <f>HYPERLINK("https://klasma.github.io/Logging_NYKOPING/tillsyn/A 30895-2020.docx", "A 30895-2020")</f>
        <v/>
      </c>
      <c r="Y11">
        <f>HYPERLINK("https://klasma.github.io/Logging_NYKOPING/tillsynsmail/A 30895-2020.docx", "A 30895-2020")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45189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29255-2020.xlsx", "A 29255-2020")</f>
        <v/>
      </c>
      <c r="T12">
        <f>HYPERLINK("https://klasma.github.io/Logging_NYKOPING/kartor/A 29255-2020.png", "A 29255-2020")</f>
        <v/>
      </c>
      <c r="V12">
        <f>HYPERLINK("https://klasma.github.io/Logging_NYKOPING/klagomål/A 29255-2020.docx", "A 29255-2020")</f>
        <v/>
      </c>
      <c r="W12">
        <f>HYPERLINK("https://klasma.github.io/Logging_NYKOPING/klagomålsmail/A 29255-2020.docx", "A 29255-2020")</f>
        <v/>
      </c>
      <c r="X12">
        <f>HYPERLINK("https://klasma.github.io/Logging_NYKOPING/tillsyn/A 29255-2020.docx", "A 29255-2020")</f>
        <v/>
      </c>
      <c r="Y12">
        <f>HYPERLINK("https://klasma.github.io/Logging_NYKOPING/tillsynsmail/A 29255-2020.docx", "A 29255-2020")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45189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30353-2021.xlsx", "A 30353-2021")</f>
        <v/>
      </c>
      <c r="T13">
        <f>HYPERLINK("https://klasma.github.io/Logging_NYKOPING/kartor/A 30353-2021.png", "A 30353-2021")</f>
        <v/>
      </c>
      <c r="V13">
        <f>HYPERLINK("https://klasma.github.io/Logging_NYKOPING/klagomål/A 30353-2021.docx", "A 30353-2021")</f>
        <v/>
      </c>
      <c r="W13">
        <f>HYPERLINK("https://klasma.github.io/Logging_NYKOPING/klagomålsmail/A 30353-2021.docx", "A 30353-2021")</f>
        <v/>
      </c>
      <c r="X13">
        <f>HYPERLINK("https://klasma.github.io/Logging_NYKOPING/tillsyn/A 30353-2021.docx", "A 30353-2021")</f>
        <v/>
      </c>
      <c r="Y13">
        <f>HYPERLINK("https://klasma.github.io/Logging_NYKOPING/tillsynsmail/A 30353-2021.docx", "A 30353-2021")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45189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35274-2021.xlsx", "A 35274-2021")</f>
        <v/>
      </c>
      <c r="T14">
        <f>HYPERLINK("https://klasma.github.io/Logging_NYKOPING/kartor/A 35274-2021.png", "A 35274-2021")</f>
        <v/>
      </c>
      <c r="V14">
        <f>HYPERLINK("https://klasma.github.io/Logging_NYKOPING/klagomål/A 35274-2021.docx", "A 35274-2021")</f>
        <v/>
      </c>
      <c r="W14">
        <f>HYPERLINK("https://klasma.github.io/Logging_NYKOPING/klagomålsmail/A 35274-2021.docx", "A 35274-2021")</f>
        <v/>
      </c>
      <c r="X14">
        <f>HYPERLINK("https://klasma.github.io/Logging_NYKOPING/tillsyn/A 35274-2021.docx", "A 35274-2021")</f>
        <v/>
      </c>
      <c r="Y14">
        <f>HYPERLINK("https://klasma.github.io/Logging_NYKOPING/tillsynsmail/A 35274-2021.docx", "A 35274-2021")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45189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6167-2019.xlsx", "A 6167-2019")</f>
        <v/>
      </c>
      <c r="T15">
        <f>HYPERLINK("https://klasma.github.io/Logging_NYKOPING/kartor/A 6167-2019.png", "A 6167-2019")</f>
        <v/>
      </c>
      <c r="V15">
        <f>HYPERLINK("https://klasma.github.io/Logging_NYKOPING/klagomål/A 6167-2019.docx", "A 6167-2019")</f>
        <v/>
      </c>
      <c r="W15">
        <f>HYPERLINK("https://klasma.github.io/Logging_NYKOPING/klagomålsmail/A 6167-2019.docx", "A 6167-2019")</f>
        <v/>
      </c>
      <c r="X15">
        <f>HYPERLINK("https://klasma.github.io/Logging_NYKOPING/tillsyn/A 6167-2019.docx", "A 6167-2019")</f>
        <v/>
      </c>
      <c r="Y15">
        <f>HYPERLINK("https://klasma.github.io/Logging_NYKOPING/tillsynsmail/A 6167-2019.docx", "A 6167-2019")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45189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6487-2020.xlsx", "A 6487-2020")</f>
        <v/>
      </c>
      <c r="T16">
        <f>HYPERLINK("https://klasma.github.io/Logging_NYKOPING/kartor/A 6487-2020.png", "A 6487-2020")</f>
        <v/>
      </c>
      <c r="V16">
        <f>HYPERLINK("https://klasma.github.io/Logging_NYKOPING/klagomål/A 6487-2020.docx", "A 6487-2020")</f>
        <v/>
      </c>
      <c r="W16">
        <f>HYPERLINK("https://klasma.github.io/Logging_NYKOPING/klagomålsmail/A 6487-2020.docx", "A 6487-2020")</f>
        <v/>
      </c>
      <c r="X16">
        <f>HYPERLINK("https://klasma.github.io/Logging_NYKOPING/tillsyn/A 6487-2020.docx", "A 6487-2020")</f>
        <v/>
      </c>
      <c r="Y16">
        <f>HYPERLINK("https://klasma.github.io/Logging_NYKOPING/tillsynsmail/A 6487-2020.docx", "A 6487-2020")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45189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14041-2020.xlsx", "A 14041-2020")</f>
        <v/>
      </c>
      <c r="T17">
        <f>HYPERLINK("https://klasma.github.io/Logging_NYKOPING/kartor/A 14041-2020.png", "A 14041-2020")</f>
        <v/>
      </c>
      <c r="U17">
        <f>HYPERLINK("https://klasma.github.io/Logging_NYKOPING/knärot/A 14041-2020.png", "A 14041-2020")</f>
        <v/>
      </c>
      <c r="V17">
        <f>HYPERLINK("https://klasma.github.io/Logging_NYKOPING/klagomål/A 14041-2020.docx", "A 14041-2020")</f>
        <v/>
      </c>
      <c r="W17">
        <f>HYPERLINK("https://klasma.github.io/Logging_NYKOPING/klagomålsmail/A 14041-2020.docx", "A 14041-2020")</f>
        <v/>
      </c>
      <c r="X17">
        <f>HYPERLINK("https://klasma.github.io/Logging_NYKOPING/tillsyn/A 14041-2020.docx", "A 14041-2020")</f>
        <v/>
      </c>
      <c r="Y17">
        <f>HYPERLINK("https://klasma.github.io/Logging_NYKOPING/tillsynsmail/A 14041-2020.docx", "A 14041-2020")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45189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25823-2020.xlsx", "A 25823-2020")</f>
        <v/>
      </c>
      <c r="T18">
        <f>HYPERLINK("https://klasma.github.io/Logging_NYKOPING/kartor/A 25823-2020.png", "A 25823-2020")</f>
        <v/>
      </c>
      <c r="V18">
        <f>HYPERLINK("https://klasma.github.io/Logging_NYKOPING/klagomål/A 25823-2020.docx", "A 25823-2020")</f>
        <v/>
      </c>
      <c r="W18">
        <f>HYPERLINK("https://klasma.github.io/Logging_NYKOPING/klagomålsmail/A 25823-2020.docx", "A 25823-2020")</f>
        <v/>
      </c>
      <c r="X18">
        <f>HYPERLINK("https://klasma.github.io/Logging_NYKOPING/tillsyn/A 25823-2020.docx", "A 25823-2020")</f>
        <v/>
      </c>
      <c r="Y18">
        <f>HYPERLINK("https://klasma.github.io/Logging_NYKOPING/tillsynsmail/A 25823-2020.docx", "A 25823-2020")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45189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25818-2020.xlsx", "A 25818-2020")</f>
        <v/>
      </c>
      <c r="T19">
        <f>HYPERLINK("https://klasma.github.io/Logging_NYKOPING/kartor/A 25818-2020.png", "A 25818-2020")</f>
        <v/>
      </c>
      <c r="V19">
        <f>HYPERLINK("https://klasma.github.io/Logging_NYKOPING/klagomål/A 25818-2020.docx", "A 25818-2020")</f>
        <v/>
      </c>
      <c r="W19">
        <f>HYPERLINK("https://klasma.github.io/Logging_NYKOPING/klagomålsmail/A 25818-2020.docx", "A 25818-2020")</f>
        <v/>
      </c>
      <c r="X19">
        <f>HYPERLINK("https://klasma.github.io/Logging_NYKOPING/tillsyn/A 25818-2020.docx", "A 25818-2020")</f>
        <v/>
      </c>
      <c r="Y19">
        <f>HYPERLINK("https://klasma.github.io/Logging_NYKOPING/tillsynsmail/A 25818-2020.docx", "A 25818-2020")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45189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38419-2021.xlsx", "A 38419-2021")</f>
        <v/>
      </c>
      <c r="T20">
        <f>HYPERLINK("https://klasma.github.io/Logging_NYKOPING/kartor/A 38419-2021.png", "A 38419-2021")</f>
        <v/>
      </c>
      <c r="V20">
        <f>HYPERLINK("https://klasma.github.io/Logging_NYKOPING/klagomål/A 38419-2021.docx", "A 38419-2021")</f>
        <v/>
      </c>
      <c r="W20">
        <f>HYPERLINK("https://klasma.github.io/Logging_NYKOPING/klagomålsmail/A 38419-2021.docx", "A 38419-2021")</f>
        <v/>
      </c>
      <c r="X20">
        <f>HYPERLINK("https://klasma.github.io/Logging_NYKOPING/tillsyn/A 38419-2021.docx", "A 38419-2021")</f>
        <v/>
      </c>
      <c r="Y20">
        <f>HYPERLINK("https://klasma.github.io/Logging_NYKOPING/tillsynsmail/A 38419-2021.docx", "A 38419-2021")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45189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47102-2021.xlsx", "A 47102-2021")</f>
        <v/>
      </c>
      <c r="T21">
        <f>HYPERLINK("https://klasma.github.io/Logging_NYKOPING/kartor/A 47102-2021.png", "A 47102-2021")</f>
        <v/>
      </c>
      <c r="V21">
        <f>HYPERLINK("https://klasma.github.io/Logging_NYKOPING/klagomål/A 47102-2021.docx", "A 47102-2021")</f>
        <v/>
      </c>
      <c r="W21">
        <f>HYPERLINK("https://klasma.github.io/Logging_NYKOPING/klagomålsmail/A 47102-2021.docx", "A 47102-2021")</f>
        <v/>
      </c>
      <c r="X21">
        <f>HYPERLINK("https://klasma.github.io/Logging_NYKOPING/tillsyn/A 47102-2021.docx", "A 47102-2021")</f>
        <v/>
      </c>
      <c r="Y21">
        <f>HYPERLINK("https://klasma.github.io/Logging_NYKOPING/tillsynsmail/A 47102-2021.docx", "A 47102-2021")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45189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8663-2022.xlsx", "A 8663-2022")</f>
        <v/>
      </c>
      <c r="T22">
        <f>HYPERLINK("https://klasma.github.io/Logging_NYKOPING/kartor/A 8663-2022.png", "A 8663-2022")</f>
        <v/>
      </c>
      <c r="V22">
        <f>HYPERLINK("https://klasma.github.io/Logging_NYKOPING/klagomål/A 8663-2022.docx", "A 8663-2022")</f>
        <v/>
      </c>
      <c r="W22">
        <f>HYPERLINK("https://klasma.github.io/Logging_NYKOPING/klagomålsmail/A 8663-2022.docx", "A 8663-2022")</f>
        <v/>
      </c>
      <c r="X22">
        <f>HYPERLINK("https://klasma.github.io/Logging_NYKOPING/tillsyn/A 8663-2022.docx", "A 8663-2022")</f>
        <v/>
      </c>
      <c r="Y22">
        <f>HYPERLINK("https://klasma.github.io/Logging_NYKOPING/tillsynsmail/A 8663-2022.docx", "A 8663-2022")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45189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16985-2019.xlsx", "A 16985-2019")</f>
        <v/>
      </c>
      <c r="T23">
        <f>HYPERLINK("https://klasma.github.io/Logging_NYKOPING/kartor/A 16985-2019.png", "A 16985-2019")</f>
        <v/>
      </c>
      <c r="V23">
        <f>HYPERLINK("https://klasma.github.io/Logging_NYKOPING/klagomål/A 16985-2019.docx", "A 16985-2019")</f>
        <v/>
      </c>
      <c r="W23">
        <f>HYPERLINK("https://klasma.github.io/Logging_NYKOPING/klagomålsmail/A 16985-2019.docx", "A 16985-2019")</f>
        <v/>
      </c>
      <c r="X23">
        <f>HYPERLINK("https://klasma.github.io/Logging_NYKOPING/tillsyn/A 16985-2019.docx", "A 16985-2019")</f>
        <v/>
      </c>
      <c r="Y23">
        <f>HYPERLINK("https://klasma.github.io/Logging_NYKOPING/tillsynsmail/A 16985-2019.docx", "A 16985-2019")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45189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38735-2019.xlsx", "A 38735-2019")</f>
        <v/>
      </c>
      <c r="T24">
        <f>HYPERLINK("https://klasma.github.io/Logging_NYKOPING/kartor/A 38735-2019.png", "A 38735-2019")</f>
        <v/>
      </c>
      <c r="V24">
        <f>HYPERLINK("https://klasma.github.io/Logging_NYKOPING/klagomål/A 38735-2019.docx", "A 38735-2019")</f>
        <v/>
      </c>
      <c r="W24">
        <f>HYPERLINK("https://klasma.github.io/Logging_NYKOPING/klagomålsmail/A 38735-2019.docx", "A 38735-2019")</f>
        <v/>
      </c>
      <c r="X24">
        <f>HYPERLINK("https://klasma.github.io/Logging_NYKOPING/tillsyn/A 38735-2019.docx", "A 38735-2019")</f>
        <v/>
      </c>
      <c r="Y24">
        <f>HYPERLINK("https://klasma.github.io/Logging_NYKOPING/tillsynsmail/A 38735-2019.docx", "A 38735-2019")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45189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1892-2020.xlsx", "A 1892-2020")</f>
        <v/>
      </c>
      <c r="T25">
        <f>HYPERLINK("https://klasma.github.io/Logging_NYKOPING/kartor/A 1892-2020.png", "A 1892-2020")</f>
        <v/>
      </c>
      <c r="V25">
        <f>HYPERLINK("https://klasma.github.io/Logging_NYKOPING/klagomål/A 1892-2020.docx", "A 1892-2020")</f>
        <v/>
      </c>
      <c r="W25">
        <f>HYPERLINK("https://klasma.github.io/Logging_NYKOPING/klagomålsmail/A 1892-2020.docx", "A 1892-2020")</f>
        <v/>
      </c>
      <c r="X25">
        <f>HYPERLINK("https://klasma.github.io/Logging_NYKOPING/tillsyn/A 1892-2020.docx", "A 1892-2020")</f>
        <v/>
      </c>
      <c r="Y25">
        <f>HYPERLINK("https://klasma.github.io/Logging_NYKOPING/tillsynsmail/A 1892-2020.docx", "A 1892-2020")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45189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14667-2020.xlsx", "A 14667-2020")</f>
        <v/>
      </c>
      <c r="T26">
        <f>HYPERLINK("https://klasma.github.io/Logging_NYKOPING/kartor/A 14667-2020.png", "A 14667-2020")</f>
        <v/>
      </c>
      <c r="V26">
        <f>HYPERLINK("https://klasma.github.io/Logging_NYKOPING/klagomål/A 14667-2020.docx", "A 14667-2020")</f>
        <v/>
      </c>
      <c r="W26">
        <f>HYPERLINK("https://klasma.github.io/Logging_NYKOPING/klagomålsmail/A 14667-2020.docx", "A 14667-2020")</f>
        <v/>
      </c>
      <c r="X26">
        <f>HYPERLINK("https://klasma.github.io/Logging_NYKOPING/tillsyn/A 14667-2020.docx", "A 14667-2020")</f>
        <v/>
      </c>
      <c r="Y26">
        <f>HYPERLINK("https://klasma.github.io/Logging_NYKOPING/tillsynsmail/A 14667-2020.docx", "A 14667-2020")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45189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55963-2021.xlsx", "A 55963-2021")</f>
        <v/>
      </c>
      <c r="T27">
        <f>HYPERLINK("https://klasma.github.io/Logging_NYKOPING/kartor/A 55963-2021.png", "A 55963-2021")</f>
        <v/>
      </c>
      <c r="V27">
        <f>HYPERLINK("https://klasma.github.io/Logging_NYKOPING/klagomål/A 55963-2021.docx", "A 55963-2021")</f>
        <v/>
      </c>
      <c r="W27">
        <f>HYPERLINK("https://klasma.github.io/Logging_NYKOPING/klagomålsmail/A 55963-2021.docx", "A 55963-2021")</f>
        <v/>
      </c>
      <c r="X27">
        <f>HYPERLINK("https://klasma.github.io/Logging_NYKOPING/tillsyn/A 55963-2021.docx", "A 55963-2021")</f>
        <v/>
      </c>
      <c r="Y27">
        <f>HYPERLINK("https://klasma.github.io/Logging_NYKOPING/tillsynsmail/A 55963-2021.docx", "A 55963-2021")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45189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5532-2023.xlsx", "A 5532-2023")</f>
        <v/>
      </c>
      <c r="T28">
        <f>HYPERLINK("https://klasma.github.io/Logging_NYKOPING/kartor/A 5532-2023.png", "A 5532-2023")</f>
        <v/>
      </c>
      <c r="V28">
        <f>HYPERLINK("https://klasma.github.io/Logging_NYKOPING/klagomål/A 5532-2023.docx", "A 5532-2023")</f>
        <v/>
      </c>
      <c r="W28">
        <f>HYPERLINK("https://klasma.github.io/Logging_NYKOPING/klagomålsmail/A 5532-2023.docx", "A 5532-2023")</f>
        <v/>
      </c>
      <c r="X28">
        <f>HYPERLINK("https://klasma.github.io/Logging_NYKOPING/tillsyn/A 5532-2023.docx", "A 5532-2023")</f>
        <v/>
      </c>
      <c r="Y28">
        <f>HYPERLINK("https://klasma.github.io/Logging_NYKOPING/tillsynsmail/A 5532-2023.docx", "A 5532-2023")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45189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64967-2018.xlsx", "A 64967-2018")</f>
        <v/>
      </c>
      <c r="T29">
        <f>HYPERLINK("https://klasma.github.io/Logging_NYKOPING/kartor/A 64967-2018.png", "A 64967-2018")</f>
        <v/>
      </c>
      <c r="V29">
        <f>HYPERLINK("https://klasma.github.io/Logging_NYKOPING/klagomål/A 64967-2018.docx", "A 64967-2018")</f>
        <v/>
      </c>
      <c r="W29">
        <f>HYPERLINK("https://klasma.github.io/Logging_NYKOPING/klagomålsmail/A 64967-2018.docx", "A 64967-2018")</f>
        <v/>
      </c>
      <c r="X29">
        <f>HYPERLINK("https://klasma.github.io/Logging_NYKOPING/tillsyn/A 64967-2018.docx", "A 64967-2018")</f>
        <v/>
      </c>
      <c r="Y29">
        <f>HYPERLINK("https://klasma.github.io/Logging_NYKOPING/tillsynsmail/A 64967-2018.docx", "A 64967-2018")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45189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64968-2018.xlsx", "A 64968-2018")</f>
        <v/>
      </c>
      <c r="T30">
        <f>HYPERLINK("https://klasma.github.io/Logging_NYKOPING/kartor/A 64968-2018.png", "A 64968-2018")</f>
        <v/>
      </c>
      <c r="V30">
        <f>HYPERLINK("https://klasma.github.io/Logging_NYKOPING/klagomål/A 64968-2018.docx", "A 64968-2018")</f>
        <v/>
      </c>
      <c r="W30">
        <f>HYPERLINK("https://klasma.github.io/Logging_NYKOPING/klagomålsmail/A 64968-2018.docx", "A 64968-2018")</f>
        <v/>
      </c>
      <c r="X30">
        <f>HYPERLINK("https://klasma.github.io/Logging_NYKOPING/tillsyn/A 64968-2018.docx", "A 64968-2018")</f>
        <v/>
      </c>
      <c r="Y30">
        <f>HYPERLINK("https://klasma.github.io/Logging_NYKOPING/tillsynsmail/A 64968-2018.docx", "A 64968-2018")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45189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4049-2019.xlsx", "A 4049-2019")</f>
        <v/>
      </c>
      <c r="T31">
        <f>HYPERLINK("https://klasma.github.io/Logging_NYKOPING/kartor/A 4049-2019.png", "A 4049-2019")</f>
        <v/>
      </c>
      <c r="V31">
        <f>HYPERLINK("https://klasma.github.io/Logging_NYKOPING/klagomål/A 4049-2019.docx", "A 4049-2019")</f>
        <v/>
      </c>
      <c r="W31">
        <f>HYPERLINK("https://klasma.github.io/Logging_NYKOPING/klagomålsmail/A 4049-2019.docx", "A 4049-2019")</f>
        <v/>
      </c>
      <c r="X31">
        <f>HYPERLINK("https://klasma.github.io/Logging_NYKOPING/tillsyn/A 4049-2019.docx", "A 4049-2019")</f>
        <v/>
      </c>
      <c r="Y31">
        <f>HYPERLINK("https://klasma.github.io/Logging_NYKOPING/tillsynsmail/A 4049-2019.docx", "A 4049-2019")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45189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15738-2019.xlsx", "A 15738-2019")</f>
        <v/>
      </c>
      <c r="T32">
        <f>HYPERLINK("https://klasma.github.io/Logging_NYKOPING/kartor/A 15738-2019.png", "A 15738-2019")</f>
        <v/>
      </c>
      <c r="V32">
        <f>HYPERLINK("https://klasma.github.io/Logging_NYKOPING/klagomål/A 15738-2019.docx", "A 15738-2019")</f>
        <v/>
      </c>
      <c r="W32">
        <f>HYPERLINK("https://klasma.github.io/Logging_NYKOPING/klagomålsmail/A 15738-2019.docx", "A 15738-2019")</f>
        <v/>
      </c>
      <c r="X32">
        <f>HYPERLINK("https://klasma.github.io/Logging_NYKOPING/tillsyn/A 15738-2019.docx", "A 15738-2019")</f>
        <v/>
      </c>
      <c r="Y32">
        <f>HYPERLINK("https://klasma.github.io/Logging_NYKOPING/tillsynsmail/A 15738-2019.docx", "A 15738-2019")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45189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18443-2019.xlsx", "A 18443-2019")</f>
        <v/>
      </c>
      <c r="T33">
        <f>HYPERLINK("https://klasma.github.io/Logging_NYKOPING/kartor/A 18443-2019.png", "A 18443-2019")</f>
        <v/>
      </c>
      <c r="V33">
        <f>HYPERLINK("https://klasma.github.io/Logging_NYKOPING/klagomål/A 18443-2019.docx", "A 18443-2019")</f>
        <v/>
      </c>
      <c r="W33">
        <f>HYPERLINK("https://klasma.github.io/Logging_NYKOPING/klagomålsmail/A 18443-2019.docx", "A 18443-2019")</f>
        <v/>
      </c>
      <c r="X33">
        <f>HYPERLINK("https://klasma.github.io/Logging_NYKOPING/tillsyn/A 18443-2019.docx", "A 18443-2019")</f>
        <v/>
      </c>
      <c r="Y33">
        <f>HYPERLINK("https://klasma.github.io/Logging_NYKOPING/tillsynsmail/A 18443-2019.docx", "A 18443-2019")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45189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28642-2019.xlsx", "A 28642-2019")</f>
        <v/>
      </c>
      <c r="T34">
        <f>HYPERLINK("https://klasma.github.io/Logging_NYKOPING/kartor/A 28642-2019.png", "A 28642-2019")</f>
        <v/>
      </c>
      <c r="V34">
        <f>HYPERLINK("https://klasma.github.io/Logging_NYKOPING/klagomål/A 28642-2019.docx", "A 28642-2019")</f>
        <v/>
      </c>
      <c r="W34">
        <f>HYPERLINK("https://klasma.github.io/Logging_NYKOPING/klagomålsmail/A 28642-2019.docx", "A 28642-2019")</f>
        <v/>
      </c>
      <c r="X34">
        <f>HYPERLINK("https://klasma.github.io/Logging_NYKOPING/tillsyn/A 28642-2019.docx", "A 28642-2019")</f>
        <v/>
      </c>
      <c r="Y34">
        <f>HYPERLINK("https://klasma.github.io/Logging_NYKOPING/tillsynsmail/A 28642-2019.docx", "A 28642-2019")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45189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42501-2019.xlsx", "A 42501-2019")</f>
        <v/>
      </c>
      <c r="T35">
        <f>HYPERLINK("https://klasma.github.io/Logging_NYKOPING/kartor/A 42501-2019.png", "A 42501-2019")</f>
        <v/>
      </c>
      <c r="V35">
        <f>HYPERLINK("https://klasma.github.io/Logging_NYKOPING/klagomål/A 42501-2019.docx", "A 42501-2019")</f>
        <v/>
      </c>
      <c r="W35">
        <f>HYPERLINK("https://klasma.github.io/Logging_NYKOPING/klagomålsmail/A 42501-2019.docx", "A 42501-2019")</f>
        <v/>
      </c>
      <c r="X35">
        <f>HYPERLINK("https://klasma.github.io/Logging_NYKOPING/tillsyn/A 42501-2019.docx", "A 42501-2019")</f>
        <v/>
      </c>
      <c r="Y35">
        <f>HYPERLINK("https://klasma.github.io/Logging_NYKOPING/tillsynsmail/A 42501-2019.docx", "A 42501-2019")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45189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59598-2019.xlsx", "A 59598-2019")</f>
        <v/>
      </c>
      <c r="T36">
        <f>HYPERLINK("https://klasma.github.io/Logging_NYKOPING/kartor/A 59598-2019.png", "A 59598-2019")</f>
        <v/>
      </c>
      <c r="V36">
        <f>HYPERLINK("https://klasma.github.io/Logging_NYKOPING/klagomål/A 59598-2019.docx", "A 59598-2019")</f>
        <v/>
      </c>
      <c r="W36">
        <f>HYPERLINK("https://klasma.github.io/Logging_NYKOPING/klagomålsmail/A 59598-2019.docx", "A 59598-2019")</f>
        <v/>
      </c>
      <c r="X36">
        <f>HYPERLINK("https://klasma.github.io/Logging_NYKOPING/tillsyn/A 59598-2019.docx", "A 59598-2019")</f>
        <v/>
      </c>
      <c r="Y36">
        <f>HYPERLINK("https://klasma.github.io/Logging_NYKOPING/tillsynsmail/A 59598-2019.docx", "A 59598-2019")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45189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64948-2019.xlsx", "A 64948-2019")</f>
        <v/>
      </c>
      <c r="T37">
        <f>HYPERLINK("https://klasma.github.io/Logging_NYKOPING/kartor/A 64948-2019.png", "A 64948-2019")</f>
        <v/>
      </c>
      <c r="V37">
        <f>HYPERLINK("https://klasma.github.io/Logging_NYKOPING/klagomål/A 64948-2019.docx", "A 64948-2019")</f>
        <v/>
      </c>
      <c r="W37">
        <f>HYPERLINK("https://klasma.github.io/Logging_NYKOPING/klagomålsmail/A 64948-2019.docx", "A 64948-2019")</f>
        <v/>
      </c>
      <c r="X37">
        <f>HYPERLINK("https://klasma.github.io/Logging_NYKOPING/tillsyn/A 64948-2019.docx", "A 64948-2019")</f>
        <v/>
      </c>
      <c r="Y37">
        <f>HYPERLINK("https://klasma.github.io/Logging_NYKOPING/tillsynsmail/A 64948-2019.docx", "A 64948-2019")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45189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68920-2020.xlsx", "A 68920-2020")</f>
        <v/>
      </c>
      <c r="T38">
        <f>HYPERLINK("https://klasma.github.io/Logging_NYKOPING/kartor/A 68920-2020.png", "A 68920-2020")</f>
        <v/>
      </c>
      <c r="V38">
        <f>HYPERLINK("https://klasma.github.io/Logging_NYKOPING/klagomål/A 68920-2020.docx", "A 68920-2020")</f>
        <v/>
      </c>
      <c r="W38">
        <f>HYPERLINK("https://klasma.github.io/Logging_NYKOPING/klagomålsmail/A 68920-2020.docx", "A 68920-2020")</f>
        <v/>
      </c>
      <c r="X38">
        <f>HYPERLINK("https://klasma.github.io/Logging_NYKOPING/tillsyn/A 68920-2020.docx", "A 68920-2020")</f>
        <v/>
      </c>
      <c r="Y38">
        <f>HYPERLINK("https://klasma.github.io/Logging_NYKOPING/tillsynsmail/A 68920-2020.docx", "A 68920-2020")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45189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12952-2021.xlsx", "A 12952-2021")</f>
        <v/>
      </c>
      <c r="T39">
        <f>HYPERLINK("https://klasma.github.io/Logging_NYKOPING/kartor/A 12952-2021.png", "A 12952-2021")</f>
        <v/>
      </c>
      <c r="V39">
        <f>HYPERLINK("https://klasma.github.io/Logging_NYKOPING/klagomål/A 12952-2021.docx", "A 12952-2021")</f>
        <v/>
      </c>
      <c r="W39">
        <f>HYPERLINK("https://klasma.github.io/Logging_NYKOPING/klagomålsmail/A 12952-2021.docx", "A 12952-2021")</f>
        <v/>
      </c>
      <c r="X39">
        <f>HYPERLINK("https://klasma.github.io/Logging_NYKOPING/tillsyn/A 12952-2021.docx", "A 12952-2021")</f>
        <v/>
      </c>
      <c r="Y39">
        <f>HYPERLINK("https://klasma.github.io/Logging_NYKOPING/tillsynsmail/A 12952-2021.docx", "A 12952-2021")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45189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38418-2021.xlsx", "A 38418-2021")</f>
        <v/>
      </c>
      <c r="T40">
        <f>HYPERLINK("https://klasma.github.io/Logging_NYKOPING/kartor/A 38418-2021.png", "A 38418-2021")</f>
        <v/>
      </c>
      <c r="V40">
        <f>HYPERLINK("https://klasma.github.io/Logging_NYKOPING/klagomål/A 38418-2021.docx", "A 38418-2021")</f>
        <v/>
      </c>
      <c r="W40">
        <f>HYPERLINK("https://klasma.github.io/Logging_NYKOPING/klagomålsmail/A 38418-2021.docx", "A 38418-2021")</f>
        <v/>
      </c>
      <c r="X40">
        <f>HYPERLINK("https://klasma.github.io/Logging_NYKOPING/tillsyn/A 38418-2021.docx", "A 38418-2021")</f>
        <v/>
      </c>
      <c r="Y40">
        <f>HYPERLINK("https://klasma.github.io/Logging_NYKOPING/tillsynsmail/A 38418-2021.docx", "A 38418-2021")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45189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51697-2021.xlsx", "A 51697-2021")</f>
        <v/>
      </c>
      <c r="T41">
        <f>HYPERLINK("https://klasma.github.io/Logging_NYKOPING/kartor/A 51697-2021.png", "A 51697-2021")</f>
        <v/>
      </c>
      <c r="V41">
        <f>HYPERLINK("https://klasma.github.io/Logging_NYKOPING/klagomål/A 51697-2021.docx", "A 51697-2021")</f>
        <v/>
      </c>
      <c r="W41">
        <f>HYPERLINK("https://klasma.github.io/Logging_NYKOPING/klagomålsmail/A 51697-2021.docx", "A 51697-2021")</f>
        <v/>
      </c>
      <c r="X41">
        <f>HYPERLINK("https://klasma.github.io/Logging_NYKOPING/tillsyn/A 51697-2021.docx", "A 51697-2021")</f>
        <v/>
      </c>
      <c r="Y41">
        <f>HYPERLINK("https://klasma.github.io/Logging_NYKOPING/tillsynsmail/A 51697-2021.docx", "A 51697-2021")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45189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51705-2021.xlsx", "A 51705-2021")</f>
        <v/>
      </c>
      <c r="T42">
        <f>HYPERLINK("https://klasma.github.io/Logging_NYKOPING/kartor/A 51705-2021.png", "A 51705-2021")</f>
        <v/>
      </c>
      <c r="V42">
        <f>HYPERLINK("https://klasma.github.io/Logging_NYKOPING/klagomål/A 51705-2021.docx", "A 51705-2021")</f>
        <v/>
      </c>
      <c r="W42">
        <f>HYPERLINK("https://klasma.github.io/Logging_NYKOPING/klagomålsmail/A 51705-2021.docx", "A 51705-2021")</f>
        <v/>
      </c>
      <c r="X42">
        <f>HYPERLINK("https://klasma.github.io/Logging_NYKOPING/tillsyn/A 51705-2021.docx", "A 51705-2021")</f>
        <v/>
      </c>
      <c r="Y42">
        <f>HYPERLINK("https://klasma.github.io/Logging_NYKOPING/tillsynsmail/A 51705-2021.docx", "A 51705-2021")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45189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54930-2021.xlsx", "A 54930-2021")</f>
        <v/>
      </c>
      <c r="T43">
        <f>HYPERLINK("https://klasma.github.io/Logging_NYKOPING/kartor/A 54930-2021.png", "A 54930-2021")</f>
        <v/>
      </c>
      <c r="U43">
        <f>HYPERLINK("https://klasma.github.io/Logging_NYKOPING/knärot/A 54930-2021.png", "A 54930-2021")</f>
        <v/>
      </c>
      <c r="V43">
        <f>HYPERLINK("https://klasma.github.io/Logging_NYKOPING/klagomål/A 54930-2021.docx", "A 54930-2021")</f>
        <v/>
      </c>
      <c r="W43">
        <f>HYPERLINK("https://klasma.github.io/Logging_NYKOPING/klagomålsmail/A 54930-2021.docx", "A 54930-2021")</f>
        <v/>
      </c>
      <c r="X43">
        <f>HYPERLINK("https://klasma.github.io/Logging_NYKOPING/tillsyn/A 54930-2021.docx", "A 54930-2021")</f>
        <v/>
      </c>
      <c r="Y43">
        <f>HYPERLINK("https://klasma.github.io/Logging_NYKOPING/tillsynsmail/A 54930-2021.docx", "A 54930-2021")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45189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12369-2022.xlsx", "A 12369-2022")</f>
        <v/>
      </c>
      <c r="T44">
        <f>HYPERLINK("https://klasma.github.io/Logging_NYKOPING/kartor/A 12369-2022.png", "A 12369-2022")</f>
        <v/>
      </c>
      <c r="V44">
        <f>HYPERLINK("https://klasma.github.io/Logging_NYKOPING/klagomål/A 12369-2022.docx", "A 12369-2022")</f>
        <v/>
      </c>
      <c r="W44">
        <f>HYPERLINK("https://klasma.github.io/Logging_NYKOPING/klagomålsmail/A 12369-2022.docx", "A 12369-2022")</f>
        <v/>
      </c>
      <c r="X44">
        <f>HYPERLINK("https://klasma.github.io/Logging_NYKOPING/tillsyn/A 12369-2022.docx", "A 12369-2022")</f>
        <v/>
      </c>
      <c r="Y44">
        <f>HYPERLINK("https://klasma.github.io/Logging_NYKOPING/tillsynsmail/A 12369-2022.docx", "A 12369-2022")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45189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34310-2022.xlsx", "A 34310-2022")</f>
        <v/>
      </c>
      <c r="T45">
        <f>HYPERLINK("https://klasma.github.io/Logging_NYKOPING/kartor/A 34310-2022.png", "A 34310-2022")</f>
        <v/>
      </c>
      <c r="V45">
        <f>HYPERLINK("https://klasma.github.io/Logging_NYKOPING/klagomål/A 34310-2022.docx", "A 34310-2022")</f>
        <v/>
      </c>
      <c r="W45">
        <f>HYPERLINK("https://klasma.github.io/Logging_NYKOPING/klagomålsmail/A 34310-2022.docx", "A 34310-2022")</f>
        <v/>
      </c>
      <c r="X45">
        <f>HYPERLINK("https://klasma.github.io/Logging_NYKOPING/tillsyn/A 34310-2022.docx", "A 34310-2022")</f>
        <v/>
      </c>
      <c r="Y45">
        <f>HYPERLINK("https://klasma.github.io/Logging_NYKOPING/tillsynsmail/A 34310-2022.docx", "A 34310-2022")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45189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38203-2022.xlsx", "A 38203-2022")</f>
        <v/>
      </c>
      <c r="T46">
        <f>HYPERLINK("https://klasma.github.io/Logging_NYKOPING/kartor/A 38203-2022.png", "A 38203-2022")</f>
        <v/>
      </c>
      <c r="V46">
        <f>HYPERLINK("https://klasma.github.io/Logging_NYKOPING/klagomål/A 38203-2022.docx", "A 38203-2022")</f>
        <v/>
      </c>
      <c r="W46">
        <f>HYPERLINK("https://klasma.github.io/Logging_NYKOPING/klagomålsmail/A 38203-2022.docx", "A 38203-2022")</f>
        <v/>
      </c>
      <c r="X46">
        <f>HYPERLINK("https://klasma.github.io/Logging_NYKOPING/tillsyn/A 38203-2022.docx", "A 38203-2022")</f>
        <v/>
      </c>
      <c r="Y46">
        <f>HYPERLINK("https://klasma.github.io/Logging_NYKOPING/tillsynsmail/A 38203-2022.docx", "A 38203-2022")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45189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52792-2022.xlsx", "A 52792-2022")</f>
        <v/>
      </c>
      <c r="T47">
        <f>HYPERLINK("https://klasma.github.io/Logging_NYKOPING/kartor/A 52792-2022.png", "A 52792-2022")</f>
        <v/>
      </c>
      <c r="V47">
        <f>HYPERLINK("https://klasma.github.io/Logging_NYKOPING/klagomål/A 52792-2022.docx", "A 52792-2022")</f>
        <v/>
      </c>
      <c r="W47">
        <f>HYPERLINK("https://klasma.github.io/Logging_NYKOPING/klagomålsmail/A 52792-2022.docx", "A 52792-2022")</f>
        <v/>
      </c>
      <c r="X47">
        <f>HYPERLINK("https://klasma.github.io/Logging_NYKOPING/tillsyn/A 52792-2022.docx", "A 52792-2022")</f>
        <v/>
      </c>
      <c r="Y47">
        <f>HYPERLINK("https://klasma.github.io/Logging_NYKOPING/tillsynsmail/A 52792-2022.docx", "A 52792-2022")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45189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853-2023.xlsx", "A 853-2023")</f>
        <v/>
      </c>
      <c r="T48">
        <f>HYPERLINK("https://klasma.github.io/Logging_NYKOPING/kartor/A 853-2023.png", "A 853-2023")</f>
        <v/>
      </c>
      <c r="V48">
        <f>HYPERLINK("https://klasma.github.io/Logging_NYKOPING/klagomål/A 853-2023.docx", "A 853-2023")</f>
        <v/>
      </c>
      <c r="W48">
        <f>HYPERLINK("https://klasma.github.io/Logging_NYKOPING/klagomålsmail/A 853-2023.docx", "A 853-2023")</f>
        <v/>
      </c>
      <c r="X48">
        <f>HYPERLINK("https://klasma.github.io/Logging_NYKOPING/tillsyn/A 853-2023.docx", "A 853-2023")</f>
        <v/>
      </c>
      <c r="Y48">
        <f>HYPERLINK("https://klasma.github.io/Logging_NYKOPING/tillsynsmail/A 853-2023.docx", "A 853-2023")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45189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3070-2023.xlsx", "A 3070-2023")</f>
        <v/>
      </c>
      <c r="T49">
        <f>HYPERLINK("https://klasma.github.io/Logging_NYKOPING/kartor/A 3070-2023.png", "A 3070-2023")</f>
        <v/>
      </c>
      <c r="V49">
        <f>HYPERLINK("https://klasma.github.io/Logging_NYKOPING/klagomål/A 3070-2023.docx", "A 3070-2023")</f>
        <v/>
      </c>
      <c r="W49">
        <f>HYPERLINK("https://klasma.github.io/Logging_NYKOPING/klagomålsmail/A 3070-2023.docx", "A 3070-2023")</f>
        <v/>
      </c>
      <c r="X49">
        <f>HYPERLINK("https://klasma.github.io/Logging_NYKOPING/tillsyn/A 3070-2023.docx", "A 3070-2023")</f>
        <v/>
      </c>
      <c r="Y49">
        <f>HYPERLINK("https://klasma.github.io/Logging_NYKOPING/tillsynsmail/A 3070-2023.docx", "A 3070-2023")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45189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48223-2018.xlsx", "A 48223-2018")</f>
        <v/>
      </c>
      <c r="T50">
        <f>HYPERLINK("https://klasma.github.io/Logging_NYKOPING/kartor/A 48223-2018.png", "A 48223-2018")</f>
        <v/>
      </c>
      <c r="V50">
        <f>HYPERLINK("https://klasma.github.io/Logging_NYKOPING/klagomål/A 48223-2018.docx", "A 48223-2018")</f>
        <v/>
      </c>
      <c r="W50">
        <f>HYPERLINK("https://klasma.github.io/Logging_NYKOPING/klagomålsmail/A 48223-2018.docx", "A 48223-2018")</f>
        <v/>
      </c>
      <c r="X50">
        <f>HYPERLINK("https://klasma.github.io/Logging_NYKOPING/tillsyn/A 48223-2018.docx", "A 48223-2018")</f>
        <v/>
      </c>
      <c r="Y50">
        <f>HYPERLINK("https://klasma.github.io/Logging_NYKOPING/tillsynsmail/A 48223-2018.docx", "A 48223-2018")</f>
        <v/>
      </c>
    </row>
    <row r="51" ht="15" customHeight="1">
      <c r="A51" t="inlineStr">
        <is>
          <t>A 58767-2018</t>
        </is>
      </c>
      <c r="B51" s="1" t="n">
        <v>43399</v>
      </c>
      <c r="C51" s="1" t="n">
        <v>45189</v>
      </c>
      <c r="D51" t="inlineStr">
        <is>
          <t>SÖDERMANLANDS LÄN</t>
        </is>
      </c>
      <c r="E51" t="inlineStr">
        <is>
          <t>NYKÖPING</t>
        </is>
      </c>
      <c r="G51" t="n">
        <v>5.4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Vanlig groda</t>
        </is>
      </c>
      <c r="S51">
        <f>HYPERLINK("https://klasma.github.io/Logging_NYKOPING/artfynd/A 58767-2018.xlsx", "A 58767-2018")</f>
        <v/>
      </c>
      <c r="T51">
        <f>HYPERLINK("https://klasma.github.io/Logging_NYKOPING/kartor/A 58767-2018.png", "A 58767-2018")</f>
        <v/>
      </c>
      <c r="V51">
        <f>HYPERLINK("https://klasma.github.io/Logging_NYKOPING/klagomål/A 58767-2018.docx", "A 58767-2018")</f>
        <v/>
      </c>
      <c r="W51">
        <f>HYPERLINK("https://klasma.github.io/Logging_NYKOPING/klagomålsmail/A 58767-2018.docx", "A 58767-2018")</f>
        <v/>
      </c>
      <c r="X51">
        <f>HYPERLINK("https://klasma.github.io/Logging_NYKOPING/tillsyn/A 58767-2018.docx", "A 58767-2018")</f>
        <v/>
      </c>
      <c r="Y51">
        <f>HYPERLINK("https://klasma.github.io/Logging_NYKOPING/tillsynsmail/A 58767-2018.docx", "A 58767-2018")</f>
        <v/>
      </c>
    </row>
    <row r="52" ht="15" customHeight="1">
      <c r="A52" t="inlineStr">
        <is>
          <t>A 67790-2018</t>
        </is>
      </c>
      <c r="B52" s="1" t="n">
        <v>43440</v>
      </c>
      <c r="C52" s="1" t="n">
        <v>45189</v>
      </c>
      <c r="D52" t="inlineStr">
        <is>
          <t>SÖDERMANLANDS LÄN</t>
        </is>
      </c>
      <c r="E52" t="inlineStr">
        <is>
          <t>NYKÖPING</t>
        </is>
      </c>
      <c r="G52" t="n">
        <v>6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HYPERLINK("https://klasma.github.io/Logging_NYKOPING/artfynd/A 67790-2018.xlsx", "A 67790-2018")</f>
        <v/>
      </c>
      <c r="T52">
        <f>HYPERLINK("https://klasma.github.io/Logging_NYKOPING/kartor/A 67790-2018.png", "A 67790-2018")</f>
        <v/>
      </c>
      <c r="V52">
        <f>HYPERLINK("https://klasma.github.io/Logging_NYKOPING/klagomål/A 67790-2018.docx", "A 67790-2018")</f>
        <v/>
      </c>
      <c r="W52">
        <f>HYPERLINK("https://klasma.github.io/Logging_NYKOPING/klagomålsmail/A 67790-2018.docx", "A 67790-2018")</f>
        <v/>
      </c>
      <c r="X52">
        <f>HYPERLINK("https://klasma.github.io/Logging_NYKOPING/tillsyn/A 67790-2018.docx", "A 67790-2018")</f>
        <v/>
      </c>
      <c r="Y52">
        <f>HYPERLINK("https://klasma.github.io/Logging_NYKOPING/tillsynsmail/A 67790-2018.docx", "A 67790-2018")</f>
        <v/>
      </c>
    </row>
    <row r="53" ht="15" customHeight="1">
      <c r="A53" t="inlineStr">
        <is>
          <t>A 68180-2018</t>
        </is>
      </c>
      <c r="B53" s="1" t="n">
        <v>43441</v>
      </c>
      <c r="C53" s="1" t="n">
        <v>45189</v>
      </c>
      <c r="D53" t="inlineStr">
        <is>
          <t>SÖDERMANLANDS LÄN</t>
        </is>
      </c>
      <c r="E53" t="inlineStr">
        <is>
          <t>NYKÖPING</t>
        </is>
      </c>
      <c r="G53" t="n">
        <v>12.8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Majviva</t>
        </is>
      </c>
      <c r="S53">
        <f>HYPERLINK("https://klasma.github.io/Logging_NYKOPING/artfynd/A 68180-2018.xlsx", "A 68180-2018")</f>
        <v/>
      </c>
      <c r="T53">
        <f>HYPERLINK("https://klasma.github.io/Logging_NYKOPING/kartor/A 68180-2018.png", "A 68180-2018")</f>
        <v/>
      </c>
      <c r="V53">
        <f>HYPERLINK("https://klasma.github.io/Logging_NYKOPING/klagomål/A 68180-2018.docx", "A 68180-2018")</f>
        <v/>
      </c>
      <c r="W53">
        <f>HYPERLINK("https://klasma.github.io/Logging_NYKOPING/klagomålsmail/A 68180-2018.docx", "A 68180-2018")</f>
        <v/>
      </c>
      <c r="X53">
        <f>HYPERLINK("https://klasma.github.io/Logging_NYKOPING/tillsyn/A 68180-2018.docx", "A 68180-2018")</f>
        <v/>
      </c>
      <c r="Y53">
        <f>HYPERLINK("https://klasma.github.io/Logging_NYKOPING/tillsynsmail/A 68180-2018.docx", "A 68180-2018")</f>
        <v/>
      </c>
    </row>
    <row r="54" ht="15" customHeight="1">
      <c r="A54" t="inlineStr">
        <is>
          <t>A 9659-2019</t>
        </is>
      </c>
      <c r="B54" s="1" t="n">
        <v>43508</v>
      </c>
      <c r="C54" s="1" t="n">
        <v>45189</v>
      </c>
      <c r="D54" t="inlineStr">
        <is>
          <t>SÖDERMANLANDS LÄN</t>
        </is>
      </c>
      <c r="E54" t="inlineStr">
        <is>
          <t>NYKÖPING</t>
        </is>
      </c>
      <c r="F54" t="inlineStr">
        <is>
          <t>Holmen skog AB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Blåsippa</t>
        </is>
      </c>
      <c r="S54">
        <f>HYPERLINK("https://klasma.github.io/Logging_NYKOPING/artfynd/A 9659-2019.xlsx", "A 9659-2019")</f>
        <v/>
      </c>
      <c r="T54">
        <f>HYPERLINK("https://klasma.github.io/Logging_NYKOPING/kartor/A 9659-2019.png", "A 9659-2019")</f>
        <v/>
      </c>
      <c r="V54">
        <f>HYPERLINK("https://klasma.github.io/Logging_NYKOPING/klagomål/A 9659-2019.docx", "A 9659-2019")</f>
        <v/>
      </c>
      <c r="W54">
        <f>HYPERLINK("https://klasma.github.io/Logging_NYKOPING/klagomålsmail/A 9659-2019.docx", "A 9659-2019")</f>
        <v/>
      </c>
      <c r="X54">
        <f>HYPERLINK("https://klasma.github.io/Logging_NYKOPING/tillsyn/A 9659-2019.docx", "A 9659-2019")</f>
        <v/>
      </c>
      <c r="Y54">
        <f>HYPERLINK("https://klasma.github.io/Logging_NYKOPING/tillsynsmail/A 9659-2019.docx", "A 9659-2019")</f>
        <v/>
      </c>
    </row>
    <row r="55" ht="15" customHeight="1">
      <c r="A55" t="inlineStr">
        <is>
          <t>A 13821-2019</t>
        </is>
      </c>
      <c r="B55" s="1" t="n">
        <v>43531</v>
      </c>
      <c r="C55" s="1" t="n">
        <v>45189</v>
      </c>
      <c r="D55" t="inlineStr">
        <is>
          <t>SÖDERMANLANDS LÄN</t>
        </is>
      </c>
      <c r="E55" t="inlineStr">
        <is>
          <t>NYKÖPING</t>
        </is>
      </c>
      <c r="G55" t="n">
        <v>0.8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HYPERLINK("https://klasma.github.io/Logging_NYKOPING/artfynd/A 13821-2019.xlsx", "A 13821-2019")</f>
        <v/>
      </c>
      <c r="T55">
        <f>HYPERLINK("https://klasma.github.io/Logging_NYKOPING/kartor/A 13821-2019.png", "A 13821-2019")</f>
        <v/>
      </c>
      <c r="V55">
        <f>HYPERLINK("https://klasma.github.io/Logging_NYKOPING/klagomål/A 13821-2019.docx", "A 13821-2019")</f>
        <v/>
      </c>
      <c r="W55">
        <f>HYPERLINK("https://klasma.github.io/Logging_NYKOPING/klagomålsmail/A 13821-2019.docx", "A 13821-2019")</f>
        <v/>
      </c>
      <c r="X55">
        <f>HYPERLINK("https://klasma.github.io/Logging_NYKOPING/tillsyn/A 13821-2019.docx", "A 13821-2019")</f>
        <v/>
      </c>
      <c r="Y55">
        <f>HYPERLINK("https://klasma.github.io/Logging_NYKOPING/tillsynsmail/A 13821-2019.docx", "A 13821-2019")</f>
        <v/>
      </c>
    </row>
    <row r="56" ht="15" customHeight="1">
      <c r="A56" t="inlineStr">
        <is>
          <t>A 23556-2019</t>
        </is>
      </c>
      <c r="B56" s="1" t="n">
        <v>43594</v>
      </c>
      <c r="C56" s="1" t="n">
        <v>45189</v>
      </c>
      <c r="D56" t="inlineStr">
        <is>
          <t>SÖDERMANLANDS LÄN</t>
        </is>
      </c>
      <c r="E56" t="inlineStr">
        <is>
          <t>NYKÖPING</t>
        </is>
      </c>
      <c r="F56" t="inlineStr">
        <is>
          <t>Sveaskog</t>
        </is>
      </c>
      <c r="G56" t="n">
        <v>2.8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HYPERLINK("https://klasma.github.io/Logging_NYKOPING/artfynd/A 23556-2019.xlsx", "A 23556-2019")</f>
        <v/>
      </c>
      <c r="T56">
        <f>HYPERLINK("https://klasma.github.io/Logging_NYKOPING/kartor/A 23556-2019.png", "A 23556-2019")</f>
        <v/>
      </c>
      <c r="V56">
        <f>HYPERLINK("https://klasma.github.io/Logging_NYKOPING/klagomål/A 23556-2019.docx", "A 23556-2019")</f>
        <v/>
      </c>
      <c r="W56">
        <f>HYPERLINK("https://klasma.github.io/Logging_NYKOPING/klagomålsmail/A 23556-2019.docx", "A 23556-2019")</f>
        <v/>
      </c>
      <c r="X56">
        <f>HYPERLINK("https://klasma.github.io/Logging_NYKOPING/tillsyn/A 23556-2019.docx", "A 23556-2019")</f>
        <v/>
      </c>
      <c r="Y56">
        <f>HYPERLINK("https://klasma.github.io/Logging_NYKOPING/tillsynsmail/A 23556-2019.docx", "A 23556-2019")</f>
        <v/>
      </c>
    </row>
    <row r="57" ht="15" customHeight="1">
      <c r="A57" t="inlineStr">
        <is>
          <t>A 28647-2019</t>
        </is>
      </c>
      <c r="B57" s="1" t="n">
        <v>43614</v>
      </c>
      <c r="C57" s="1" t="n">
        <v>45189</v>
      </c>
      <c r="D57" t="inlineStr">
        <is>
          <t>SÖDERMANLANDS LÄN</t>
        </is>
      </c>
      <c r="E57" t="inlineStr">
        <is>
          <t>NYKÖPING</t>
        </is>
      </c>
      <c r="G57" t="n">
        <v>20.9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Spindelblomster</t>
        </is>
      </c>
      <c r="S57">
        <f>HYPERLINK("https://klasma.github.io/Logging_NYKOPING/artfynd/A 28647-2019.xlsx", "A 28647-2019")</f>
        <v/>
      </c>
      <c r="T57">
        <f>HYPERLINK("https://klasma.github.io/Logging_NYKOPING/kartor/A 28647-2019.png", "A 28647-2019")</f>
        <v/>
      </c>
      <c r="V57">
        <f>HYPERLINK("https://klasma.github.io/Logging_NYKOPING/klagomål/A 28647-2019.docx", "A 28647-2019")</f>
        <v/>
      </c>
      <c r="W57">
        <f>HYPERLINK("https://klasma.github.io/Logging_NYKOPING/klagomålsmail/A 28647-2019.docx", "A 28647-2019")</f>
        <v/>
      </c>
      <c r="X57">
        <f>HYPERLINK("https://klasma.github.io/Logging_NYKOPING/tillsyn/A 28647-2019.docx", "A 28647-2019")</f>
        <v/>
      </c>
      <c r="Y57">
        <f>HYPERLINK("https://klasma.github.io/Logging_NYKOPING/tillsynsmail/A 28647-2019.docx", "A 28647-2019")</f>
        <v/>
      </c>
    </row>
    <row r="58" ht="15" customHeight="1">
      <c r="A58" t="inlineStr">
        <is>
          <t>A 28403-2019</t>
        </is>
      </c>
      <c r="B58" s="1" t="n">
        <v>43626</v>
      </c>
      <c r="C58" s="1" t="n">
        <v>45189</v>
      </c>
      <c r="D58" t="inlineStr">
        <is>
          <t>SÖDERMANLANDS LÄN</t>
        </is>
      </c>
      <c r="E58" t="inlineStr">
        <is>
          <t>NYKÖPING</t>
        </is>
      </c>
      <c r="F58" t="inlineStr">
        <is>
          <t>Sveaskog</t>
        </is>
      </c>
      <c r="G58" t="n">
        <v>2.5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HYPERLINK("https://klasma.github.io/Logging_NYKOPING/artfynd/A 28403-2019.xlsx", "A 28403-2019")</f>
        <v/>
      </c>
      <c r="T58">
        <f>HYPERLINK("https://klasma.github.io/Logging_NYKOPING/kartor/A 28403-2019.png", "A 28403-2019")</f>
        <v/>
      </c>
      <c r="V58">
        <f>HYPERLINK("https://klasma.github.io/Logging_NYKOPING/klagomål/A 28403-2019.docx", "A 28403-2019")</f>
        <v/>
      </c>
      <c r="W58">
        <f>HYPERLINK("https://klasma.github.io/Logging_NYKOPING/klagomålsmail/A 28403-2019.docx", "A 28403-2019")</f>
        <v/>
      </c>
      <c r="X58">
        <f>HYPERLINK("https://klasma.github.io/Logging_NYKOPING/tillsyn/A 28403-2019.docx", "A 28403-2019")</f>
        <v/>
      </c>
      <c r="Y58">
        <f>HYPERLINK("https://klasma.github.io/Logging_NYKOPING/tillsynsmail/A 28403-2019.docx", "A 28403-2019")</f>
        <v/>
      </c>
    </row>
    <row r="59" ht="15" customHeight="1">
      <c r="A59" t="inlineStr">
        <is>
          <t>A 30159-2019</t>
        </is>
      </c>
      <c r="B59" s="1" t="n">
        <v>43634</v>
      </c>
      <c r="C59" s="1" t="n">
        <v>45189</v>
      </c>
      <c r="D59" t="inlineStr">
        <is>
          <t>SÖDERMANLANDS LÄN</t>
        </is>
      </c>
      <c r="E59" t="inlineStr">
        <is>
          <t>NYKÖPING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HYPERLINK("https://klasma.github.io/Logging_NYKOPING/artfynd/A 30159-2019.xlsx", "A 30159-2019")</f>
        <v/>
      </c>
      <c r="T59">
        <f>HYPERLINK("https://klasma.github.io/Logging_NYKOPING/kartor/A 30159-2019.png", "A 30159-2019")</f>
        <v/>
      </c>
      <c r="V59">
        <f>HYPERLINK("https://klasma.github.io/Logging_NYKOPING/klagomål/A 30159-2019.docx", "A 30159-2019")</f>
        <v/>
      </c>
      <c r="W59">
        <f>HYPERLINK("https://klasma.github.io/Logging_NYKOPING/klagomålsmail/A 30159-2019.docx", "A 30159-2019")</f>
        <v/>
      </c>
      <c r="X59">
        <f>HYPERLINK("https://klasma.github.io/Logging_NYKOPING/tillsyn/A 30159-2019.docx", "A 30159-2019")</f>
        <v/>
      </c>
      <c r="Y59">
        <f>HYPERLINK("https://klasma.github.io/Logging_NYKOPING/tillsynsmail/A 30159-2019.docx", "A 30159-2019")</f>
        <v/>
      </c>
    </row>
    <row r="60" ht="15" customHeight="1">
      <c r="A60" t="inlineStr">
        <is>
          <t>A 33322-2019</t>
        </is>
      </c>
      <c r="B60" s="1" t="n">
        <v>43650</v>
      </c>
      <c r="C60" s="1" t="n">
        <v>45189</v>
      </c>
      <c r="D60" t="inlineStr">
        <is>
          <t>SÖDERMANLANDS LÄN</t>
        </is>
      </c>
      <c r="E60" t="inlineStr">
        <is>
          <t>NYKÖPING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Kopparödla</t>
        </is>
      </c>
      <c r="S60">
        <f>HYPERLINK("https://klasma.github.io/Logging_NYKOPING/artfynd/A 33322-2019.xlsx", "A 33322-2019")</f>
        <v/>
      </c>
      <c r="T60">
        <f>HYPERLINK("https://klasma.github.io/Logging_NYKOPING/kartor/A 33322-2019.png", "A 33322-2019")</f>
        <v/>
      </c>
      <c r="V60">
        <f>HYPERLINK("https://klasma.github.io/Logging_NYKOPING/klagomål/A 33322-2019.docx", "A 33322-2019")</f>
        <v/>
      </c>
      <c r="W60">
        <f>HYPERLINK("https://klasma.github.io/Logging_NYKOPING/klagomålsmail/A 33322-2019.docx", "A 33322-2019")</f>
        <v/>
      </c>
      <c r="X60">
        <f>HYPERLINK("https://klasma.github.io/Logging_NYKOPING/tillsyn/A 33322-2019.docx", "A 33322-2019")</f>
        <v/>
      </c>
      <c r="Y60">
        <f>HYPERLINK("https://klasma.github.io/Logging_NYKOPING/tillsynsmail/A 33322-2019.docx", "A 33322-2019")</f>
        <v/>
      </c>
    </row>
    <row r="61" ht="15" customHeight="1">
      <c r="A61" t="inlineStr">
        <is>
          <t>A 35143-2019</t>
        </is>
      </c>
      <c r="B61" s="1" t="n">
        <v>43661</v>
      </c>
      <c r="C61" s="1" t="n">
        <v>45189</v>
      </c>
      <c r="D61" t="inlineStr">
        <is>
          <t>SÖDERMANLANDS LÄN</t>
        </is>
      </c>
      <c r="E61" t="inlineStr">
        <is>
          <t>NYKÖPING</t>
        </is>
      </c>
      <c r="F61" t="inlineStr">
        <is>
          <t>Övriga Aktiebolag</t>
        </is>
      </c>
      <c r="G61" t="n">
        <v>0.8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HYPERLINK("https://klasma.github.io/Logging_NYKOPING/artfynd/A 35143-2019.xlsx", "A 35143-2019")</f>
        <v/>
      </c>
      <c r="T61">
        <f>HYPERLINK("https://klasma.github.io/Logging_NYKOPING/kartor/A 35143-2019.png", "A 35143-2019")</f>
        <v/>
      </c>
      <c r="V61">
        <f>HYPERLINK("https://klasma.github.io/Logging_NYKOPING/klagomål/A 35143-2019.docx", "A 35143-2019")</f>
        <v/>
      </c>
      <c r="W61">
        <f>HYPERLINK("https://klasma.github.io/Logging_NYKOPING/klagomålsmail/A 35143-2019.docx", "A 35143-2019")</f>
        <v/>
      </c>
      <c r="X61">
        <f>HYPERLINK("https://klasma.github.io/Logging_NYKOPING/tillsyn/A 35143-2019.docx", "A 35143-2019")</f>
        <v/>
      </c>
      <c r="Y61">
        <f>HYPERLINK("https://klasma.github.io/Logging_NYKOPING/tillsynsmail/A 35143-2019.docx", "A 35143-2019")</f>
        <v/>
      </c>
    </row>
    <row r="62" ht="15" customHeight="1">
      <c r="A62" t="inlineStr">
        <is>
          <t>A 42633-2019</t>
        </is>
      </c>
      <c r="B62" s="1" t="n">
        <v>43704</v>
      </c>
      <c r="C62" s="1" t="n">
        <v>45189</v>
      </c>
      <c r="D62" t="inlineStr">
        <is>
          <t>SÖDERMANLANDS LÄN</t>
        </is>
      </c>
      <c r="E62" t="inlineStr">
        <is>
          <t>NYKÖPING</t>
        </is>
      </c>
      <c r="G62" t="n">
        <v>12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HYPERLINK("https://klasma.github.io/Logging_NYKOPING/artfynd/A 42633-2019.xlsx", "A 42633-2019")</f>
        <v/>
      </c>
      <c r="T62">
        <f>HYPERLINK("https://klasma.github.io/Logging_NYKOPING/kartor/A 42633-2019.png", "A 42633-2019")</f>
        <v/>
      </c>
      <c r="V62">
        <f>HYPERLINK("https://klasma.github.io/Logging_NYKOPING/klagomål/A 42633-2019.docx", "A 42633-2019")</f>
        <v/>
      </c>
      <c r="W62">
        <f>HYPERLINK("https://klasma.github.io/Logging_NYKOPING/klagomålsmail/A 42633-2019.docx", "A 42633-2019")</f>
        <v/>
      </c>
      <c r="X62">
        <f>HYPERLINK("https://klasma.github.io/Logging_NYKOPING/tillsyn/A 42633-2019.docx", "A 42633-2019")</f>
        <v/>
      </c>
      <c r="Y62">
        <f>HYPERLINK("https://klasma.github.io/Logging_NYKOPING/tillsynsmail/A 42633-2019.docx", "A 42633-2019")</f>
        <v/>
      </c>
    </row>
    <row r="63" ht="15" customHeight="1">
      <c r="A63" t="inlineStr">
        <is>
          <t>A 54163-2019</t>
        </is>
      </c>
      <c r="B63" s="1" t="n">
        <v>43745</v>
      </c>
      <c r="C63" s="1" t="n">
        <v>45189</v>
      </c>
      <c r="D63" t="inlineStr">
        <is>
          <t>SÖDERMANLANDS LÄN</t>
        </is>
      </c>
      <c r="E63" t="inlineStr">
        <is>
          <t>NYKÖPING</t>
        </is>
      </c>
      <c r="G63" t="n">
        <v>1.9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Havsörn</t>
        </is>
      </c>
      <c r="S63">
        <f>HYPERLINK("https://klasma.github.io/Logging_NYKOPING/artfynd/A 54163-2019.xlsx", "A 54163-2019")</f>
        <v/>
      </c>
      <c r="T63">
        <f>HYPERLINK("https://klasma.github.io/Logging_NYKOPING/kartor/A 54163-2019.png", "A 54163-2019")</f>
        <v/>
      </c>
      <c r="V63">
        <f>HYPERLINK("https://klasma.github.io/Logging_NYKOPING/klagomål/A 54163-2019.docx", "A 54163-2019")</f>
        <v/>
      </c>
      <c r="W63">
        <f>HYPERLINK("https://klasma.github.io/Logging_NYKOPING/klagomålsmail/A 54163-2019.docx", "A 54163-2019")</f>
        <v/>
      </c>
      <c r="X63">
        <f>HYPERLINK("https://klasma.github.io/Logging_NYKOPING/tillsyn/A 54163-2019.docx", "A 54163-2019")</f>
        <v/>
      </c>
      <c r="Y63">
        <f>HYPERLINK("https://klasma.github.io/Logging_NYKOPING/tillsynsmail/A 54163-2019.docx", "A 54163-2019")</f>
        <v/>
      </c>
    </row>
    <row r="64" ht="15" customHeight="1">
      <c r="A64" t="inlineStr">
        <is>
          <t>A 872-2020</t>
        </is>
      </c>
      <c r="B64" s="1" t="n">
        <v>43818</v>
      </c>
      <c r="C64" s="1" t="n">
        <v>45189</v>
      </c>
      <c r="D64" t="inlineStr">
        <is>
          <t>SÖDERMANLANDS LÄN</t>
        </is>
      </c>
      <c r="E64" t="inlineStr">
        <is>
          <t>NYKÖPING</t>
        </is>
      </c>
      <c r="G64" t="n">
        <v>4.5</v>
      </c>
      <c r="H64" t="n">
        <v>1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Brun glada</t>
        </is>
      </c>
      <c r="S64">
        <f>HYPERLINK("https://klasma.github.io/Logging_NYKOPING/artfynd/A 872-2020.xlsx", "A 872-2020")</f>
        <v/>
      </c>
      <c r="T64">
        <f>HYPERLINK("https://klasma.github.io/Logging_NYKOPING/kartor/A 872-2020.png", "A 872-2020")</f>
        <v/>
      </c>
      <c r="V64">
        <f>HYPERLINK("https://klasma.github.io/Logging_NYKOPING/klagomål/A 872-2020.docx", "A 872-2020")</f>
        <v/>
      </c>
      <c r="W64">
        <f>HYPERLINK("https://klasma.github.io/Logging_NYKOPING/klagomålsmail/A 872-2020.docx", "A 872-2020")</f>
        <v/>
      </c>
      <c r="X64">
        <f>HYPERLINK("https://klasma.github.io/Logging_NYKOPING/tillsyn/A 872-2020.docx", "A 872-2020")</f>
        <v/>
      </c>
      <c r="Y64">
        <f>HYPERLINK("https://klasma.github.io/Logging_NYKOPING/tillsynsmail/A 872-2020.docx", "A 872-2020")</f>
        <v/>
      </c>
    </row>
    <row r="65" ht="15" customHeight="1">
      <c r="A65" t="inlineStr">
        <is>
          <t>A 1380-2020</t>
        </is>
      </c>
      <c r="B65" s="1" t="n">
        <v>43843</v>
      </c>
      <c r="C65" s="1" t="n">
        <v>45189</v>
      </c>
      <c r="D65" t="inlineStr">
        <is>
          <t>SÖDERMANLANDS LÄN</t>
        </is>
      </c>
      <c r="E65" t="inlineStr">
        <is>
          <t>NYKÖPING</t>
        </is>
      </c>
      <c r="G65" t="n">
        <v>1.7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HYPERLINK("https://klasma.github.io/Logging_NYKOPING/artfynd/A 1380-2020.xlsx", "A 1380-2020")</f>
        <v/>
      </c>
      <c r="T65">
        <f>HYPERLINK("https://klasma.github.io/Logging_NYKOPING/kartor/A 1380-2020.png", "A 1380-2020")</f>
        <v/>
      </c>
      <c r="V65">
        <f>HYPERLINK("https://klasma.github.io/Logging_NYKOPING/klagomål/A 1380-2020.docx", "A 1380-2020")</f>
        <v/>
      </c>
      <c r="W65">
        <f>HYPERLINK("https://klasma.github.io/Logging_NYKOPING/klagomålsmail/A 1380-2020.docx", "A 1380-2020")</f>
        <v/>
      </c>
      <c r="X65">
        <f>HYPERLINK("https://klasma.github.io/Logging_NYKOPING/tillsyn/A 1380-2020.docx", "A 1380-2020")</f>
        <v/>
      </c>
      <c r="Y65">
        <f>HYPERLINK("https://klasma.github.io/Logging_NYKOPING/tillsynsmail/A 1380-2020.docx", "A 1380-2020")</f>
        <v/>
      </c>
    </row>
    <row r="66" ht="15" customHeight="1">
      <c r="A66" t="inlineStr">
        <is>
          <t>A 4244-2020</t>
        </is>
      </c>
      <c r="B66" s="1" t="n">
        <v>43857</v>
      </c>
      <c r="C66" s="1" t="n">
        <v>45189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3.9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HYPERLINK("https://klasma.github.io/Logging_NYKOPING/artfynd/A 4244-2020.xlsx", "A 4244-2020")</f>
        <v/>
      </c>
      <c r="T66">
        <f>HYPERLINK("https://klasma.github.io/Logging_NYKOPING/kartor/A 4244-2020.png", "A 4244-2020")</f>
        <v/>
      </c>
      <c r="U66">
        <f>HYPERLINK("https://klasma.github.io/Logging_NYKOPING/knärot/A 4244-2020.png", "A 4244-2020")</f>
        <v/>
      </c>
      <c r="V66">
        <f>HYPERLINK("https://klasma.github.io/Logging_NYKOPING/klagomål/A 4244-2020.docx", "A 4244-2020")</f>
        <v/>
      </c>
      <c r="W66">
        <f>HYPERLINK("https://klasma.github.io/Logging_NYKOPING/klagomålsmail/A 4244-2020.docx", "A 4244-2020")</f>
        <v/>
      </c>
      <c r="X66">
        <f>HYPERLINK("https://klasma.github.io/Logging_NYKOPING/tillsyn/A 4244-2020.docx", "A 4244-2020")</f>
        <v/>
      </c>
      <c r="Y66">
        <f>HYPERLINK("https://klasma.github.io/Logging_NYKOPING/tillsynsmail/A 4244-2020.docx", "A 4244-2020")</f>
        <v/>
      </c>
    </row>
    <row r="67" ht="15" customHeight="1">
      <c r="A67" t="inlineStr">
        <is>
          <t>A 7702-2020</t>
        </is>
      </c>
      <c r="B67" s="1" t="n">
        <v>43872</v>
      </c>
      <c r="C67" s="1" t="n">
        <v>45189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HYPERLINK("https://klasma.github.io/Logging_NYKOPING/artfynd/A 7702-2020.xlsx", "A 7702-2020")</f>
        <v/>
      </c>
      <c r="T67">
        <f>HYPERLINK("https://klasma.github.io/Logging_NYKOPING/kartor/A 7702-2020.png", "A 7702-2020")</f>
        <v/>
      </c>
      <c r="V67">
        <f>HYPERLINK("https://klasma.github.io/Logging_NYKOPING/klagomål/A 7702-2020.docx", "A 7702-2020")</f>
        <v/>
      </c>
      <c r="W67">
        <f>HYPERLINK("https://klasma.github.io/Logging_NYKOPING/klagomålsmail/A 7702-2020.docx", "A 7702-2020")</f>
        <v/>
      </c>
      <c r="X67">
        <f>HYPERLINK("https://klasma.github.io/Logging_NYKOPING/tillsyn/A 7702-2020.docx", "A 7702-2020")</f>
        <v/>
      </c>
      <c r="Y67">
        <f>HYPERLINK("https://klasma.github.io/Logging_NYKOPING/tillsynsmail/A 7702-2020.docx", "A 7702-2020")</f>
        <v/>
      </c>
    </row>
    <row r="68" ht="15" customHeight="1">
      <c r="A68" t="inlineStr">
        <is>
          <t>A 13756-2020</t>
        </is>
      </c>
      <c r="B68" s="1" t="n">
        <v>43903</v>
      </c>
      <c r="C68" s="1" t="n">
        <v>45189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5.4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HYPERLINK("https://klasma.github.io/Logging_NYKOPING/artfynd/A 13756-2020.xlsx", "A 13756-2020")</f>
        <v/>
      </c>
      <c r="T68">
        <f>HYPERLINK("https://klasma.github.io/Logging_NYKOPING/kartor/A 13756-2020.png", "A 13756-2020")</f>
        <v/>
      </c>
      <c r="V68">
        <f>HYPERLINK("https://klasma.github.io/Logging_NYKOPING/klagomål/A 13756-2020.docx", "A 13756-2020")</f>
        <v/>
      </c>
      <c r="W68">
        <f>HYPERLINK("https://klasma.github.io/Logging_NYKOPING/klagomålsmail/A 13756-2020.docx", "A 13756-2020")</f>
        <v/>
      </c>
      <c r="X68">
        <f>HYPERLINK("https://klasma.github.io/Logging_NYKOPING/tillsyn/A 13756-2020.docx", "A 13756-2020")</f>
        <v/>
      </c>
      <c r="Y68">
        <f>HYPERLINK("https://klasma.github.io/Logging_NYKOPING/tillsynsmail/A 13756-2020.docx", "A 13756-2020")</f>
        <v/>
      </c>
    </row>
    <row r="69" ht="15" customHeight="1">
      <c r="A69" t="inlineStr">
        <is>
          <t>A 19647-2020</t>
        </is>
      </c>
      <c r="B69" s="1" t="n">
        <v>43937</v>
      </c>
      <c r="C69" s="1" t="n">
        <v>45189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HYPERLINK("https://klasma.github.io/Logging_NYKOPING/artfynd/A 19647-2020.xlsx", "A 19647-2020")</f>
        <v/>
      </c>
      <c r="T69">
        <f>HYPERLINK("https://klasma.github.io/Logging_NYKOPING/kartor/A 19647-2020.png", "A 19647-2020")</f>
        <v/>
      </c>
      <c r="V69">
        <f>HYPERLINK("https://klasma.github.io/Logging_NYKOPING/klagomål/A 19647-2020.docx", "A 19647-2020")</f>
        <v/>
      </c>
      <c r="W69">
        <f>HYPERLINK("https://klasma.github.io/Logging_NYKOPING/klagomålsmail/A 19647-2020.docx", "A 19647-2020")</f>
        <v/>
      </c>
      <c r="X69">
        <f>HYPERLINK("https://klasma.github.io/Logging_NYKOPING/tillsyn/A 19647-2020.docx", "A 19647-2020")</f>
        <v/>
      </c>
      <c r="Y69">
        <f>HYPERLINK("https://klasma.github.io/Logging_NYKOPING/tillsynsmail/A 19647-2020.docx", "A 19647-2020")</f>
        <v/>
      </c>
    </row>
    <row r="70" ht="15" customHeight="1">
      <c r="A70" t="inlineStr">
        <is>
          <t>A 20017-2020</t>
        </is>
      </c>
      <c r="B70" s="1" t="n">
        <v>43942</v>
      </c>
      <c r="C70" s="1" t="n">
        <v>45189</v>
      </c>
      <c r="D70" t="inlineStr">
        <is>
          <t>SÖDERMANLANDS LÄN</t>
        </is>
      </c>
      <c r="E70" t="inlineStr">
        <is>
          <t>NYKÖPING</t>
        </is>
      </c>
      <c r="G70" t="n">
        <v>2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HYPERLINK("https://klasma.github.io/Logging_NYKOPING/artfynd/A 20017-2020.xlsx", "A 20017-2020")</f>
        <v/>
      </c>
      <c r="T70">
        <f>HYPERLINK("https://klasma.github.io/Logging_NYKOPING/kartor/A 20017-2020.png", "A 20017-2020")</f>
        <v/>
      </c>
      <c r="V70">
        <f>HYPERLINK("https://klasma.github.io/Logging_NYKOPING/klagomål/A 20017-2020.docx", "A 20017-2020")</f>
        <v/>
      </c>
      <c r="W70">
        <f>HYPERLINK("https://klasma.github.io/Logging_NYKOPING/klagomålsmail/A 20017-2020.docx", "A 20017-2020")</f>
        <v/>
      </c>
      <c r="X70">
        <f>HYPERLINK("https://klasma.github.io/Logging_NYKOPING/tillsyn/A 20017-2020.docx", "A 20017-2020")</f>
        <v/>
      </c>
      <c r="Y70">
        <f>HYPERLINK("https://klasma.github.io/Logging_NYKOPING/tillsynsmail/A 20017-2020.docx", "A 20017-2020")</f>
        <v/>
      </c>
    </row>
    <row r="71" ht="15" customHeight="1">
      <c r="A71" t="inlineStr">
        <is>
          <t>A 25802-2020</t>
        </is>
      </c>
      <c r="B71" s="1" t="n">
        <v>43983</v>
      </c>
      <c r="C71" s="1" t="n">
        <v>45189</v>
      </c>
      <c r="D71" t="inlineStr">
        <is>
          <t>SÖDERMANLANDS LÄN</t>
        </is>
      </c>
      <c r="E71" t="inlineStr">
        <is>
          <t>NYKÖPING</t>
        </is>
      </c>
      <c r="F71" t="inlineStr">
        <is>
          <t>Kommuner</t>
        </is>
      </c>
      <c r="G71" t="n">
        <v>3.4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Skarp dropptaggsvamp</t>
        </is>
      </c>
      <c r="S71">
        <f>HYPERLINK("https://klasma.github.io/Logging_NYKOPING/artfynd/A 25802-2020.xlsx", "A 25802-2020")</f>
        <v/>
      </c>
      <c r="T71">
        <f>HYPERLINK("https://klasma.github.io/Logging_NYKOPING/kartor/A 25802-2020.png", "A 25802-2020")</f>
        <v/>
      </c>
      <c r="V71">
        <f>HYPERLINK("https://klasma.github.io/Logging_NYKOPING/klagomål/A 25802-2020.docx", "A 25802-2020")</f>
        <v/>
      </c>
      <c r="W71">
        <f>HYPERLINK("https://klasma.github.io/Logging_NYKOPING/klagomålsmail/A 25802-2020.docx", "A 25802-2020")</f>
        <v/>
      </c>
      <c r="X71">
        <f>HYPERLINK("https://klasma.github.io/Logging_NYKOPING/tillsyn/A 25802-2020.docx", "A 25802-2020")</f>
        <v/>
      </c>
      <c r="Y71">
        <f>HYPERLINK("https://klasma.github.io/Logging_NYKOPING/tillsynsmail/A 25802-2020.docx", "A 25802-2020")</f>
        <v/>
      </c>
    </row>
    <row r="72" ht="15" customHeight="1">
      <c r="A72" t="inlineStr">
        <is>
          <t>A 29320-2020</t>
        </is>
      </c>
      <c r="B72" s="1" t="n">
        <v>44004</v>
      </c>
      <c r="C72" s="1" t="n">
        <v>45189</v>
      </c>
      <c r="D72" t="inlineStr">
        <is>
          <t>SÖDERMANLANDS LÄN</t>
        </is>
      </c>
      <c r="E72" t="inlineStr">
        <is>
          <t>NYKÖPING</t>
        </is>
      </c>
      <c r="G72" t="n">
        <v>15.2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Buskskvätta</t>
        </is>
      </c>
      <c r="S72">
        <f>HYPERLINK("https://klasma.github.io/Logging_NYKOPING/artfynd/A 29320-2020.xlsx", "A 29320-2020")</f>
        <v/>
      </c>
      <c r="T72">
        <f>HYPERLINK("https://klasma.github.io/Logging_NYKOPING/kartor/A 29320-2020.png", "A 29320-2020")</f>
        <v/>
      </c>
      <c r="V72">
        <f>HYPERLINK("https://klasma.github.io/Logging_NYKOPING/klagomål/A 29320-2020.docx", "A 29320-2020")</f>
        <v/>
      </c>
      <c r="W72">
        <f>HYPERLINK("https://klasma.github.io/Logging_NYKOPING/klagomålsmail/A 29320-2020.docx", "A 29320-2020")</f>
        <v/>
      </c>
      <c r="X72">
        <f>HYPERLINK("https://klasma.github.io/Logging_NYKOPING/tillsyn/A 29320-2020.docx", "A 29320-2020")</f>
        <v/>
      </c>
      <c r="Y72">
        <f>HYPERLINK("https://klasma.github.io/Logging_NYKOPING/tillsynsmail/A 29320-2020.docx", "A 29320-2020")</f>
        <v/>
      </c>
    </row>
    <row r="73" ht="15" customHeight="1">
      <c r="A73" t="inlineStr">
        <is>
          <t>A 29400-2020</t>
        </is>
      </c>
      <c r="B73" s="1" t="n">
        <v>44004</v>
      </c>
      <c r="C73" s="1" t="n">
        <v>45189</v>
      </c>
      <c r="D73" t="inlineStr">
        <is>
          <t>SÖDERMANLANDS LÄN</t>
        </is>
      </c>
      <c r="E73" t="inlineStr">
        <is>
          <t>NYKÖPING</t>
        </is>
      </c>
      <c r="G73" t="n">
        <v>7.7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HYPERLINK("https://klasma.github.io/Logging_NYKOPING/artfynd/A 29400-2020.xlsx", "A 29400-2020")</f>
        <v/>
      </c>
      <c r="T73">
        <f>HYPERLINK("https://klasma.github.io/Logging_NYKOPING/kartor/A 29400-2020.png", "A 29400-2020")</f>
        <v/>
      </c>
      <c r="V73">
        <f>HYPERLINK("https://klasma.github.io/Logging_NYKOPING/klagomål/A 29400-2020.docx", "A 29400-2020")</f>
        <v/>
      </c>
      <c r="W73">
        <f>HYPERLINK("https://klasma.github.io/Logging_NYKOPING/klagomålsmail/A 29400-2020.docx", "A 29400-2020")</f>
        <v/>
      </c>
      <c r="X73">
        <f>HYPERLINK("https://klasma.github.io/Logging_NYKOPING/tillsyn/A 29400-2020.docx", "A 29400-2020")</f>
        <v/>
      </c>
      <c r="Y73">
        <f>HYPERLINK("https://klasma.github.io/Logging_NYKOPING/tillsynsmail/A 29400-2020.docx", "A 29400-2020")</f>
        <v/>
      </c>
    </row>
    <row r="74" ht="15" customHeight="1">
      <c r="A74" t="inlineStr">
        <is>
          <t>A 29402-2020</t>
        </is>
      </c>
      <c r="B74" s="1" t="n">
        <v>44004</v>
      </c>
      <c r="C74" s="1" t="n">
        <v>45189</v>
      </c>
      <c r="D74" t="inlineStr">
        <is>
          <t>SÖDERMANLANDS LÄN</t>
        </is>
      </c>
      <c r="E74" t="inlineStr">
        <is>
          <t>NYKÖPING</t>
        </is>
      </c>
      <c r="G74" t="n">
        <v>1.7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Flodsångare</t>
        </is>
      </c>
      <c r="S74">
        <f>HYPERLINK("https://klasma.github.io/Logging_NYKOPING/artfynd/A 29402-2020.xlsx", "A 29402-2020")</f>
        <v/>
      </c>
      <c r="T74">
        <f>HYPERLINK("https://klasma.github.io/Logging_NYKOPING/kartor/A 29402-2020.png", "A 29402-2020")</f>
        <v/>
      </c>
      <c r="V74">
        <f>HYPERLINK("https://klasma.github.io/Logging_NYKOPING/klagomål/A 29402-2020.docx", "A 29402-2020")</f>
        <v/>
      </c>
      <c r="W74">
        <f>HYPERLINK("https://klasma.github.io/Logging_NYKOPING/klagomålsmail/A 29402-2020.docx", "A 29402-2020")</f>
        <v/>
      </c>
      <c r="X74">
        <f>HYPERLINK("https://klasma.github.io/Logging_NYKOPING/tillsyn/A 29402-2020.docx", "A 29402-2020")</f>
        <v/>
      </c>
      <c r="Y74">
        <f>HYPERLINK("https://klasma.github.io/Logging_NYKOPING/tillsynsmail/A 29402-2020.docx", "A 29402-2020")</f>
        <v/>
      </c>
    </row>
    <row r="75" ht="15" customHeight="1">
      <c r="A75" t="inlineStr">
        <is>
          <t>A 30887-2020</t>
        </is>
      </c>
      <c r="B75" s="1" t="n">
        <v>44008</v>
      </c>
      <c r="C75" s="1" t="n">
        <v>45189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HYPERLINK("https://klasma.github.io/Logging_NYKOPING/artfynd/A 30887-2020.xlsx", "A 30887-2020")</f>
        <v/>
      </c>
      <c r="T75">
        <f>HYPERLINK("https://klasma.github.io/Logging_NYKOPING/kartor/A 30887-2020.png", "A 30887-2020")</f>
        <v/>
      </c>
      <c r="V75">
        <f>HYPERLINK("https://klasma.github.io/Logging_NYKOPING/klagomål/A 30887-2020.docx", "A 30887-2020")</f>
        <v/>
      </c>
      <c r="W75">
        <f>HYPERLINK("https://klasma.github.io/Logging_NYKOPING/klagomålsmail/A 30887-2020.docx", "A 30887-2020")</f>
        <v/>
      </c>
      <c r="X75">
        <f>HYPERLINK("https://klasma.github.io/Logging_NYKOPING/tillsyn/A 30887-2020.docx", "A 30887-2020")</f>
        <v/>
      </c>
      <c r="Y75">
        <f>HYPERLINK("https://klasma.github.io/Logging_NYKOPING/tillsynsmail/A 30887-2020.docx", "A 30887-2020")</f>
        <v/>
      </c>
    </row>
    <row r="76" ht="15" customHeight="1">
      <c r="A76" t="inlineStr">
        <is>
          <t>A 44224-2020</t>
        </is>
      </c>
      <c r="B76" s="1" t="n">
        <v>44084</v>
      </c>
      <c r="C76" s="1" t="n">
        <v>45189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Tornseglare</t>
        </is>
      </c>
      <c r="S76">
        <f>HYPERLINK("https://klasma.github.io/Logging_NYKOPING/artfynd/A 44224-2020.xlsx", "A 44224-2020")</f>
        <v/>
      </c>
      <c r="T76">
        <f>HYPERLINK("https://klasma.github.io/Logging_NYKOPING/kartor/A 44224-2020.png", "A 44224-2020")</f>
        <v/>
      </c>
      <c r="V76">
        <f>HYPERLINK("https://klasma.github.io/Logging_NYKOPING/klagomål/A 44224-2020.docx", "A 44224-2020")</f>
        <v/>
      </c>
      <c r="W76">
        <f>HYPERLINK("https://klasma.github.io/Logging_NYKOPING/klagomålsmail/A 44224-2020.docx", "A 44224-2020")</f>
        <v/>
      </c>
      <c r="X76">
        <f>HYPERLINK("https://klasma.github.io/Logging_NYKOPING/tillsyn/A 44224-2020.docx", "A 44224-2020")</f>
        <v/>
      </c>
      <c r="Y76">
        <f>HYPERLINK("https://klasma.github.io/Logging_NYKOPING/tillsynsmail/A 44224-2020.docx", "A 44224-2020")</f>
        <v/>
      </c>
    </row>
    <row r="77" ht="15" customHeight="1">
      <c r="A77" t="inlineStr">
        <is>
          <t>A 44227-2020</t>
        </is>
      </c>
      <c r="B77" s="1" t="n">
        <v>44084</v>
      </c>
      <c r="C77" s="1" t="n">
        <v>45189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3.8</v>
      </c>
      <c r="H77" t="n">
        <v>1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Skogsknipprot</t>
        </is>
      </c>
      <c r="S77">
        <f>HYPERLINK("https://klasma.github.io/Logging_NYKOPING/artfynd/A 44227-2020.xlsx", "A 44227-2020")</f>
        <v/>
      </c>
      <c r="T77">
        <f>HYPERLINK("https://klasma.github.io/Logging_NYKOPING/kartor/A 44227-2020.png", "A 44227-2020")</f>
        <v/>
      </c>
      <c r="V77">
        <f>HYPERLINK("https://klasma.github.io/Logging_NYKOPING/klagomål/A 44227-2020.docx", "A 44227-2020")</f>
        <v/>
      </c>
      <c r="W77">
        <f>HYPERLINK("https://klasma.github.io/Logging_NYKOPING/klagomålsmail/A 44227-2020.docx", "A 44227-2020")</f>
        <v/>
      </c>
      <c r="X77">
        <f>HYPERLINK("https://klasma.github.io/Logging_NYKOPING/tillsyn/A 44227-2020.docx", "A 44227-2020")</f>
        <v/>
      </c>
      <c r="Y77">
        <f>HYPERLINK("https://klasma.github.io/Logging_NYKOPING/tillsynsmail/A 44227-2020.docx", "A 44227-2020")</f>
        <v/>
      </c>
    </row>
    <row r="78" ht="15" customHeight="1">
      <c r="A78" t="inlineStr">
        <is>
          <t>A 7130-2021</t>
        </is>
      </c>
      <c r="B78" s="1" t="n">
        <v>44238</v>
      </c>
      <c r="C78" s="1" t="n">
        <v>45189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4.1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Stor aspticka</t>
        </is>
      </c>
      <c r="S78">
        <f>HYPERLINK("https://klasma.github.io/Logging_NYKOPING/artfynd/A 7130-2021.xlsx", "A 7130-2021")</f>
        <v/>
      </c>
      <c r="T78">
        <f>HYPERLINK("https://klasma.github.io/Logging_NYKOPING/kartor/A 7130-2021.png", "A 7130-2021")</f>
        <v/>
      </c>
      <c r="V78">
        <f>HYPERLINK("https://klasma.github.io/Logging_NYKOPING/klagomål/A 7130-2021.docx", "A 7130-2021")</f>
        <v/>
      </c>
      <c r="W78">
        <f>HYPERLINK("https://klasma.github.io/Logging_NYKOPING/klagomålsmail/A 7130-2021.docx", "A 7130-2021")</f>
        <v/>
      </c>
      <c r="X78">
        <f>HYPERLINK("https://klasma.github.io/Logging_NYKOPING/tillsyn/A 7130-2021.docx", "A 7130-2021")</f>
        <v/>
      </c>
      <c r="Y78">
        <f>HYPERLINK("https://klasma.github.io/Logging_NYKOPING/tillsynsmail/A 7130-2021.docx", "A 7130-2021")</f>
        <v/>
      </c>
    </row>
    <row r="79" ht="15" customHeight="1">
      <c r="A79" t="inlineStr">
        <is>
          <t>A 11354-2021</t>
        </is>
      </c>
      <c r="B79" s="1" t="n">
        <v>44263</v>
      </c>
      <c r="C79" s="1" t="n">
        <v>45189</v>
      </c>
      <c r="D79" t="inlineStr">
        <is>
          <t>SÖDERMANLANDS LÄN</t>
        </is>
      </c>
      <c r="E79" t="inlineStr">
        <is>
          <t>NYKÖPING</t>
        </is>
      </c>
      <c r="G79" t="n">
        <v>4.2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Mellanlummer</t>
        </is>
      </c>
      <c r="S79">
        <f>HYPERLINK("https://klasma.github.io/Logging_NYKOPING/artfynd/A 11354-2021.xlsx", "A 11354-2021")</f>
        <v/>
      </c>
      <c r="T79">
        <f>HYPERLINK("https://klasma.github.io/Logging_NYKOPING/kartor/A 11354-2021.png", "A 11354-2021")</f>
        <v/>
      </c>
      <c r="V79">
        <f>HYPERLINK("https://klasma.github.io/Logging_NYKOPING/klagomål/A 11354-2021.docx", "A 11354-2021")</f>
        <v/>
      </c>
      <c r="W79">
        <f>HYPERLINK("https://klasma.github.io/Logging_NYKOPING/klagomålsmail/A 11354-2021.docx", "A 11354-2021")</f>
        <v/>
      </c>
      <c r="X79">
        <f>HYPERLINK("https://klasma.github.io/Logging_NYKOPING/tillsyn/A 11354-2021.docx", "A 11354-2021")</f>
        <v/>
      </c>
      <c r="Y79">
        <f>HYPERLINK("https://klasma.github.io/Logging_NYKOPING/tillsynsmail/A 11354-2021.docx", "A 11354-2021")</f>
        <v/>
      </c>
    </row>
    <row r="80" ht="15" customHeight="1">
      <c r="A80" t="inlineStr">
        <is>
          <t>A 26647-2021</t>
        </is>
      </c>
      <c r="B80" s="1" t="n">
        <v>44348</v>
      </c>
      <c r="C80" s="1" t="n">
        <v>45189</v>
      </c>
      <c r="D80" t="inlineStr">
        <is>
          <t>SÖDERMANLANDS LÄN</t>
        </is>
      </c>
      <c r="E80" t="inlineStr">
        <is>
          <t>NYKÖPING</t>
        </is>
      </c>
      <c r="G80" t="n">
        <v>2.2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Hornuggla</t>
        </is>
      </c>
      <c r="S80">
        <f>HYPERLINK("https://klasma.github.io/Logging_NYKOPING/artfynd/A 26647-2021.xlsx", "A 26647-2021")</f>
        <v/>
      </c>
      <c r="T80">
        <f>HYPERLINK("https://klasma.github.io/Logging_NYKOPING/kartor/A 26647-2021.png", "A 26647-2021")</f>
        <v/>
      </c>
      <c r="V80">
        <f>HYPERLINK("https://klasma.github.io/Logging_NYKOPING/klagomål/A 26647-2021.docx", "A 26647-2021")</f>
        <v/>
      </c>
      <c r="W80">
        <f>HYPERLINK("https://klasma.github.io/Logging_NYKOPING/klagomålsmail/A 26647-2021.docx", "A 26647-2021")</f>
        <v/>
      </c>
      <c r="X80">
        <f>HYPERLINK("https://klasma.github.io/Logging_NYKOPING/tillsyn/A 26647-2021.docx", "A 26647-2021")</f>
        <v/>
      </c>
      <c r="Y80">
        <f>HYPERLINK("https://klasma.github.io/Logging_NYKOPING/tillsynsmail/A 26647-2021.docx", "A 26647-2021")</f>
        <v/>
      </c>
    </row>
    <row r="81" ht="15" customHeight="1">
      <c r="A81" t="inlineStr">
        <is>
          <t>A 30155-2021</t>
        </is>
      </c>
      <c r="B81" s="1" t="n">
        <v>44363</v>
      </c>
      <c r="C81" s="1" t="n">
        <v>45189</v>
      </c>
      <c r="D81" t="inlineStr">
        <is>
          <t>SÖDERMANLANDS LÄN</t>
        </is>
      </c>
      <c r="E81" t="inlineStr">
        <is>
          <t>NYKÖPING</t>
        </is>
      </c>
      <c r="G81" t="n">
        <v>8.5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Havsörn</t>
        </is>
      </c>
      <c r="S81">
        <f>HYPERLINK("https://klasma.github.io/Logging_NYKOPING/artfynd/A 30155-2021.xlsx", "A 30155-2021")</f>
        <v/>
      </c>
      <c r="T81">
        <f>HYPERLINK("https://klasma.github.io/Logging_NYKOPING/kartor/A 30155-2021.png", "A 30155-2021")</f>
        <v/>
      </c>
      <c r="V81">
        <f>HYPERLINK("https://klasma.github.io/Logging_NYKOPING/klagomål/A 30155-2021.docx", "A 30155-2021")</f>
        <v/>
      </c>
      <c r="W81">
        <f>HYPERLINK("https://klasma.github.io/Logging_NYKOPING/klagomålsmail/A 30155-2021.docx", "A 30155-2021")</f>
        <v/>
      </c>
      <c r="X81">
        <f>HYPERLINK("https://klasma.github.io/Logging_NYKOPING/tillsyn/A 30155-2021.docx", "A 30155-2021")</f>
        <v/>
      </c>
      <c r="Y81">
        <f>HYPERLINK("https://klasma.github.io/Logging_NYKOPING/tillsynsmail/A 30155-2021.docx", "A 30155-2021")</f>
        <v/>
      </c>
    </row>
    <row r="82" ht="15" customHeight="1">
      <c r="A82" t="inlineStr">
        <is>
          <t>A 37879-2021</t>
        </is>
      </c>
      <c r="B82" s="1" t="n">
        <v>44403</v>
      </c>
      <c r="C82" s="1" t="n">
        <v>45189</v>
      </c>
      <c r="D82" t="inlineStr">
        <is>
          <t>SÖDERMANLANDS LÄN</t>
        </is>
      </c>
      <c r="E82" t="inlineStr">
        <is>
          <t>NYKÖPING</t>
        </is>
      </c>
      <c r="G82" t="n">
        <v>1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Persiljespindling</t>
        </is>
      </c>
      <c r="S82">
        <f>HYPERLINK("https://klasma.github.io/Logging_NYKOPING/artfynd/A 37879-2021.xlsx", "A 37879-2021")</f>
        <v/>
      </c>
      <c r="T82">
        <f>HYPERLINK("https://klasma.github.io/Logging_NYKOPING/kartor/A 37879-2021.png", "A 37879-2021")</f>
        <v/>
      </c>
      <c r="V82">
        <f>HYPERLINK("https://klasma.github.io/Logging_NYKOPING/klagomål/A 37879-2021.docx", "A 37879-2021")</f>
        <v/>
      </c>
      <c r="W82">
        <f>HYPERLINK("https://klasma.github.io/Logging_NYKOPING/klagomålsmail/A 37879-2021.docx", "A 37879-2021")</f>
        <v/>
      </c>
      <c r="X82">
        <f>HYPERLINK("https://klasma.github.io/Logging_NYKOPING/tillsyn/A 37879-2021.docx", "A 37879-2021")</f>
        <v/>
      </c>
      <c r="Y82">
        <f>HYPERLINK("https://klasma.github.io/Logging_NYKOPING/tillsynsmail/A 37879-2021.docx", "A 37879-2021")</f>
        <v/>
      </c>
    </row>
    <row r="83" ht="15" customHeight="1">
      <c r="A83" t="inlineStr">
        <is>
          <t>A 38366-2021</t>
        </is>
      </c>
      <c r="B83" s="1" t="n">
        <v>44406</v>
      </c>
      <c r="C83" s="1" t="n">
        <v>45189</v>
      </c>
      <c r="D83" t="inlineStr">
        <is>
          <t>SÖDERMANLANDS LÄN</t>
        </is>
      </c>
      <c r="E83" t="inlineStr">
        <is>
          <t>NYKÖPING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Skogsklocka</t>
        </is>
      </c>
      <c r="S83">
        <f>HYPERLINK("https://klasma.github.io/Logging_NYKOPING/artfynd/A 38366-2021.xlsx", "A 38366-2021")</f>
        <v/>
      </c>
      <c r="T83">
        <f>HYPERLINK("https://klasma.github.io/Logging_NYKOPING/kartor/A 38366-2021.png", "A 38366-2021")</f>
        <v/>
      </c>
      <c r="V83">
        <f>HYPERLINK("https://klasma.github.io/Logging_NYKOPING/klagomål/A 38366-2021.docx", "A 38366-2021")</f>
        <v/>
      </c>
      <c r="W83">
        <f>HYPERLINK("https://klasma.github.io/Logging_NYKOPING/klagomålsmail/A 38366-2021.docx", "A 38366-2021")</f>
        <v/>
      </c>
      <c r="X83">
        <f>HYPERLINK("https://klasma.github.io/Logging_NYKOPING/tillsyn/A 38366-2021.docx", "A 38366-2021")</f>
        <v/>
      </c>
      <c r="Y83">
        <f>HYPERLINK("https://klasma.github.io/Logging_NYKOPING/tillsynsmail/A 38366-2021.docx", "A 38366-2021")</f>
        <v/>
      </c>
    </row>
    <row r="84" ht="15" customHeight="1">
      <c r="A84" t="inlineStr">
        <is>
          <t>A 42903-2021</t>
        </is>
      </c>
      <c r="B84" s="1" t="n">
        <v>44430</v>
      </c>
      <c r="C84" s="1" t="n">
        <v>45189</v>
      </c>
      <c r="D84" t="inlineStr">
        <is>
          <t>SÖDERMANLANDS LÄN</t>
        </is>
      </c>
      <c r="E84" t="inlineStr">
        <is>
          <t>NYKÖPING</t>
        </is>
      </c>
      <c r="G84" t="n">
        <v>20.2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Gullklöver</t>
        </is>
      </c>
      <c r="S84">
        <f>HYPERLINK("https://klasma.github.io/Logging_NYKOPING/artfynd/A 42903-2021.xlsx", "A 42903-2021")</f>
        <v/>
      </c>
      <c r="T84">
        <f>HYPERLINK("https://klasma.github.io/Logging_NYKOPING/kartor/A 42903-2021.png", "A 42903-2021")</f>
        <v/>
      </c>
      <c r="V84">
        <f>HYPERLINK("https://klasma.github.io/Logging_NYKOPING/klagomål/A 42903-2021.docx", "A 42903-2021")</f>
        <v/>
      </c>
      <c r="W84">
        <f>HYPERLINK("https://klasma.github.io/Logging_NYKOPING/klagomålsmail/A 42903-2021.docx", "A 42903-2021")</f>
        <v/>
      </c>
      <c r="X84">
        <f>HYPERLINK("https://klasma.github.io/Logging_NYKOPING/tillsyn/A 42903-2021.docx", "A 42903-2021")</f>
        <v/>
      </c>
      <c r="Y84">
        <f>HYPERLINK("https://klasma.github.io/Logging_NYKOPING/tillsynsmail/A 42903-2021.docx", "A 42903-2021")</f>
        <v/>
      </c>
    </row>
    <row r="85" ht="15" customHeight="1">
      <c r="A85" t="inlineStr">
        <is>
          <t>A 47095-2021</t>
        </is>
      </c>
      <c r="B85" s="1" t="n">
        <v>44446</v>
      </c>
      <c r="C85" s="1" t="n">
        <v>45189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1.4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Kricka</t>
        </is>
      </c>
      <c r="S85">
        <f>HYPERLINK("https://klasma.github.io/Logging_NYKOPING/artfynd/A 47095-2021.xlsx", "A 47095-2021")</f>
        <v/>
      </c>
      <c r="T85">
        <f>HYPERLINK("https://klasma.github.io/Logging_NYKOPING/kartor/A 47095-2021.png", "A 47095-2021")</f>
        <v/>
      </c>
      <c r="V85">
        <f>HYPERLINK("https://klasma.github.io/Logging_NYKOPING/klagomål/A 47095-2021.docx", "A 47095-2021")</f>
        <v/>
      </c>
      <c r="W85">
        <f>HYPERLINK("https://klasma.github.io/Logging_NYKOPING/klagomålsmail/A 47095-2021.docx", "A 47095-2021")</f>
        <v/>
      </c>
      <c r="X85">
        <f>HYPERLINK("https://klasma.github.io/Logging_NYKOPING/tillsyn/A 47095-2021.docx", "A 47095-2021")</f>
        <v/>
      </c>
      <c r="Y85">
        <f>HYPERLINK("https://klasma.github.io/Logging_NYKOPING/tillsynsmail/A 47095-2021.docx", "A 47095-2021")</f>
        <v/>
      </c>
    </row>
    <row r="86" ht="15" customHeight="1">
      <c r="A86" t="inlineStr">
        <is>
          <t>A 47107-2021</t>
        </is>
      </c>
      <c r="B86" s="1" t="n">
        <v>44446</v>
      </c>
      <c r="C86" s="1" t="n">
        <v>45189</v>
      </c>
      <c r="D86" t="inlineStr">
        <is>
          <t>SÖDERMANLANDS LÄN</t>
        </is>
      </c>
      <c r="E86" t="inlineStr">
        <is>
          <t>NYKÖPING</t>
        </is>
      </c>
      <c r="F86" t="inlineStr">
        <is>
          <t>Kommuner</t>
        </is>
      </c>
      <c r="G86" t="n">
        <v>4.9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HYPERLINK("https://klasma.github.io/Logging_NYKOPING/artfynd/A 47107-2021.xlsx", "A 47107-2021")</f>
        <v/>
      </c>
      <c r="T86">
        <f>HYPERLINK("https://klasma.github.io/Logging_NYKOPING/kartor/A 47107-2021.png", "A 47107-2021")</f>
        <v/>
      </c>
      <c r="V86">
        <f>HYPERLINK("https://klasma.github.io/Logging_NYKOPING/klagomål/A 47107-2021.docx", "A 47107-2021")</f>
        <v/>
      </c>
      <c r="W86">
        <f>HYPERLINK("https://klasma.github.io/Logging_NYKOPING/klagomålsmail/A 47107-2021.docx", "A 47107-2021")</f>
        <v/>
      </c>
      <c r="X86">
        <f>HYPERLINK("https://klasma.github.io/Logging_NYKOPING/tillsyn/A 47107-2021.docx", "A 47107-2021")</f>
        <v/>
      </c>
      <c r="Y86">
        <f>HYPERLINK("https://klasma.github.io/Logging_NYKOPING/tillsynsmail/A 47107-2021.docx", "A 47107-2021")</f>
        <v/>
      </c>
    </row>
    <row r="87" ht="15" customHeight="1">
      <c r="A87" t="inlineStr">
        <is>
          <t>A 56420-2021</t>
        </is>
      </c>
      <c r="B87" s="1" t="n">
        <v>44480</v>
      </c>
      <c r="C87" s="1" t="n">
        <v>45189</v>
      </c>
      <c r="D87" t="inlineStr">
        <is>
          <t>SÖDERMANLANDS LÄN</t>
        </is>
      </c>
      <c r="E87" t="inlineStr">
        <is>
          <t>NYKÖPING</t>
        </is>
      </c>
      <c r="F87" t="inlineStr">
        <is>
          <t>Holmen skog AB</t>
        </is>
      </c>
      <c r="G87" t="n">
        <v>2.8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Björktrast</t>
        </is>
      </c>
      <c r="S87">
        <f>HYPERLINK("https://klasma.github.io/Logging_NYKOPING/artfynd/A 56420-2021.xlsx", "A 56420-2021")</f>
        <v/>
      </c>
      <c r="T87">
        <f>HYPERLINK("https://klasma.github.io/Logging_NYKOPING/kartor/A 56420-2021.png", "A 56420-2021")</f>
        <v/>
      </c>
      <c r="V87">
        <f>HYPERLINK("https://klasma.github.io/Logging_NYKOPING/klagomål/A 56420-2021.docx", "A 56420-2021")</f>
        <v/>
      </c>
      <c r="W87">
        <f>HYPERLINK("https://klasma.github.io/Logging_NYKOPING/klagomålsmail/A 56420-2021.docx", "A 56420-2021")</f>
        <v/>
      </c>
      <c r="X87">
        <f>HYPERLINK("https://klasma.github.io/Logging_NYKOPING/tillsyn/A 56420-2021.docx", "A 56420-2021")</f>
        <v/>
      </c>
      <c r="Y87">
        <f>HYPERLINK("https://klasma.github.io/Logging_NYKOPING/tillsynsmail/A 56420-2021.docx", "A 56420-2021")</f>
        <v/>
      </c>
    </row>
    <row r="88" ht="15" customHeight="1">
      <c r="A88" t="inlineStr">
        <is>
          <t>A 61071-2021</t>
        </is>
      </c>
      <c r="B88" s="1" t="n">
        <v>44497</v>
      </c>
      <c r="C88" s="1" t="n">
        <v>45189</v>
      </c>
      <c r="D88" t="inlineStr">
        <is>
          <t>SÖDERMANLANDS LÄN</t>
        </is>
      </c>
      <c r="E88" t="inlineStr">
        <is>
          <t>NYKÖPING</t>
        </is>
      </c>
      <c r="G88" t="n">
        <v>3.8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Bronshjon</t>
        </is>
      </c>
      <c r="S88">
        <f>HYPERLINK("https://klasma.github.io/Logging_NYKOPING/artfynd/A 61071-2021.xlsx", "A 61071-2021")</f>
        <v/>
      </c>
      <c r="T88">
        <f>HYPERLINK("https://klasma.github.io/Logging_NYKOPING/kartor/A 61071-2021.png", "A 61071-2021")</f>
        <v/>
      </c>
      <c r="V88">
        <f>HYPERLINK("https://klasma.github.io/Logging_NYKOPING/klagomål/A 61071-2021.docx", "A 61071-2021")</f>
        <v/>
      </c>
      <c r="W88">
        <f>HYPERLINK("https://klasma.github.io/Logging_NYKOPING/klagomålsmail/A 61071-2021.docx", "A 61071-2021")</f>
        <v/>
      </c>
      <c r="X88">
        <f>HYPERLINK("https://klasma.github.io/Logging_NYKOPING/tillsyn/A 61071-2021.docx", "A 61071-2021")</f>
        <v/>
      </c>
      <c r="Y88">
        <f>HYPERLINK("https://klasma.github.io/Logging_NYKOPING/tillsynsmail/A 61071-2021.docx", "A 61071-2021")</f>
        <v/>
      </c>
    </row>
    <row r="89" ht="15" customHeight="1">
      <c r="A89" t="inlineStr">
        <is>
          <t>A 62716-2021</t>
        </is>
      </c>
      <c r="B89" s="1" t="n">
        <v>44503</v>
      </c>
      <c r="C89" s="1" t="n">
        <v>45189</v>
      </c>
      <c r="D89" t="inlineStr">
        <is>
          <t>SÖDERMANLANDS LÄN</t>
        </is>
      </c>
      <c r="E89" t="inlineStr">
        <is>
          <t>NYKÖPING</t>
        </is>
      </c>
      <c r="G89" t="n">
        <v>2.4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Mattlummer</t>
        </is>
      </c>
      <c r="S89">
        <f>HYPERLINK("https://klasma.github.io/Logging_NYKOPING/artfynd/A 62716-2021.xlsx", "A 62716-2021")</f>
        <v/>
      </c>
      <c r="T89">
        <f>HYPERLINK("https://klasma.github.io/Logging_NYKOPING/kartor/A 62716-2021.png", "A 62716-2021")</f>
        <v/>
      </c>
      <c r="V89">
        <f>HYPERLINK("https://klasma.github.io/Logging_NYKOPING/klagomål/A 62716-2021.docx", "A 62716-2021")</f>
        <v/>
      </c>
      <c r="W89">
        <f>HYPERLINK("https://klasma.github.io/Logging_NYKOPING/klagomålsmail/A 62716-2021.docx", "A 62716-2021")</f>
        <v/>
      </c>
      <c r="X89">
        <f>HYPERLINK("https://klasma.github.io/Logging_NYKOPING/tillsyn/A 62716-2021.docx", "A 62716-2021")</f>
        <v/>
      </c>
      <c r="Y89">
        <f>HYPERLINK("https://klasma.github.io/Logging_NYKOPING/tillsynsmail/A 62716-2021.docx", "A 62716-2021")</f>
        <v/>
      </c>
    </row>
    <row r="90" ht="15" customHeight="1">
      <c r="A90" t="inlineStr">
        <is>
          <t>A 65889-2021</t>
        </is>
      </c>
      <c r="B90" s="1" t="n">
        <v>44517</v>
      </c>
      <c r="C90" s="1" t="n">
        <v>45189</v>
      </c>
      <c r="D90" t="inlineStr">
        <is>
          <t>SÖDERMANLANDS LÄN</t>
        </is>
      </c>
      <c r="E90" t="inlineStr">
        <is>
          <t>NYKÖPING</t>
        </is>
      </c>
      <c r="G90" t="n">
        <v>4.8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Backstarr</t>
        </is>
      </c>
      <c r="S90">
        <f>HYPERLINK("https://klasma.github.io/Logging_NYKOPING/artfynd/A 65889-2021.xlsx", "A 65889-2021")</f>
        <v/>
      </c>
      <c r="T90">
        <f>HYPERLINK("https://klasma.github.io/Logging_NYKOPING/kartor/A 65889-2021.png", "A 65889-2021")</f>
        <v/>
      </c>
      <c r="V90">
        <f>HYPERLINK("https://klasma.github.io/Logging_NYKOPING/klagomål/A 65889-2021.docx", "A 65889-2021")</f>
        <v/>
      </c>
      <c r="W90">
        <f>HYPERLINK("https://klasma.github.io/Logging_NYKOPING/klagomålsmail/A 65889-2021.docx", "A 65889-2021")</f>
        <v/>
      </c>
      <c r="X90">
        <f>HYPERLINK("https://klasma.github.io/Logging_NYKOPING/tillsyn/A 65889-2021.docx", "A 65889-2021")</f>
        <v/>
      </c>
      <c r="Y90">
        <f>HYPERLINK("https://klasma.github.io/Logging_NYKOPING/tillsynsmail/A 65889-2021.docx", "A 65889-2021")</f>
        <v/>
      </c>
    </row>
    <row r="91" ht="15" customHeight="1">
      <c r="A91" t="inlineStr">
        <is>
          <t>A 65892-2021</t>
        </is>
      </c>
      <c r="B91" s="1" t="n">
        <v>44517</v>
      </c>
      <c r="C91" s="1" t="n">
        <v>45189</v>
      </c>
      <c r="D91" t="inlineStr">
        <is>
          <t>SÖDERMANLANDS LÄN</t>
        </is>
      </c>
      <c r="E91" t="inlineStr">
        <is>
          <t>NYKÖPING</t>
        </is>
      </c>
      <c r="G91" t="n">
        <v>1.9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Mattlummer</t>
        </is>
      </c>
      <c r="S91">
        <f>HYPERLINK("https://klasma.github.io/Logging_NYKOPING/artfynd/A 65892-2021.xlsx", "A 65892-2021")</f>
        <v/>
      </c>
      <c r="T91">
        <f>HYPERLINK("https://klasma.github.io/Logging_NYKOPING/kartor/A 65892-2021.png", "A 65892-2021")</f>
        <v/>
      </c>
      <c r="V91">
        <f>HYPERLINK("https://klasma.github.io/Logging_NYKOPING/klagomål/A 65892-2021.docx", "A 65892-2021")</f>
        <v/>
      </c>
      <c r="W91">
        <f>HYPERLINK("https://klasma.github.io/Logging_NYKOPING/klagomålsmail/A 65892-2021.docx", "A 65892-2021")</f>
        <v/>
      </c>
      <c r="X91">
        <f>HYPERLINK("https://klasma.github.io/Logging_NYKOPING/tillsyn/A 65892-2021.docx", "A 65892-2021")</f>
        <v/>
      </c>
      <c r="Y91">
        <f>HYPERLINK("https://klasma.github.io/Logging_NYKOPING/tillsynsmail/A 65892-2021.docx", "A 65892-2021")</f>
        <v/>
      </c>
    </row>
    <row r="92" ht="15" customHeight="1">
      <c r="A92" t="inlineStr">
        <is>
          <t>A 67819-2021</t>
        </is>
      </c>
      <c r="B92" s="1" t="n">
        <v>44525</v>
      </c>
      <c r="C92" s="1" t="n">
        <v>45189</v>
      </c>
      <c r="D92" t="inlineStr">
        <is>
          <t>SÖDERMANLANDS LÄN</t>
        </is>
      </c>
      <c r="E92" t="inlineStr">
        <is>
          <t>NYKÖPING</t>
        </is>
      </c>
      <c r="F92" t="inlineStr">
        <is>
          <t>Sveaskog</t>
        </is>
      </c>
      <c r="G92" t="n">
        <v>1.1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Svedjenäva</t>
        </is>
      </c>
      <c r="S92">
        <f>HYPERLINK("https://klasma.github.io/Logging_NYKOPING/artfynd/A 67819-2021.xlsx", "A 67819-2021")</f>
        <v/>
      </c>
      <c r="T92">
        <f>HYPERLINK("https://klasma.github.io/Logging_NYKOPING/kartor/A 67819-2021.png", "A 67819-2021")</f>
        <v/>
      </c>
      <c r="V92">
        <f>HYPERLINK("https://klasma.github.io/Logging_NYKOPING/klagomål/A 67819-2021.docx", "A 67819-2021")</f>
        <v/>
      </c>
      <c r="W92">
        <f>HYPERLINK("https://klasma.github.io/Logging_NYKOPING/klagomålsmail/A 67819-2021.docx", "A 67819-2021")</f>
        <v/>
      </c>
      <c r="X92">
        <f>HYPERLINK("https://klasma.github.io/Logging_NYKOPING/tillsyn/A 67819-2021.docx", "A 67819-2021")</f>
        <v/>
      </c>
      <c r="Y92">
        <f>HYPERLINK("https://klasma.github.io/Logging_NYKOPING/tillsynsmail/A 67819-2021.docx", "A 67819-2021")</f>
        <v/>
      </c>
    </row>
    <row r="93" ht="15" customHeight="1">
      <c r="A93" t="inlineStr">
        <is>
          <t>A 9973-2022</t>
        </is>
      </c>
      <c r="B93" s="1" t="n">
        <v>44621</v>
      </c>
      <c r="C93" s="1" t="n">
        <v>45189</v>
      </c>
      <c r="D93" t="inlineStr">
        <is>
          <t>SÖDERMANLANDS LÄN</t>
        </is>
      </c>
      <c r="E93" t="inlineStr">
        <is>
          <t>NYKÖPING</t>
        </is>
      </c>
      <c r="G93" t="n">
        <v>18.3</v>
      </c>
      <c r="H93" t="n">
        <v>1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Grön sköldmossa</t>
        </is>
      </c>
      <c r="S93">
        <f>HYPERLINK("https://klasma.github.io/Logging_NYKOPING/artfynd/A 9973-2022.xlsx", "A 9973-2022")</f>
        <v/>
      </c>
      <c r="T93">
        <f>HYPERLINK("https://klasma.github.io/Logging_NYKOPING/kartor/A 9973-2022.png", "A 9973-2022")</f>
        <v/>
      </c>
      <c r="V93">
        <f>HYPERLINK("https://klasma.github.io/Logging_NYKOPING/klagomål/A 9973-2022.docx", "A 9973-2022")</f>
        <v/>
      </c>
      <c r="W93">
        <f>HYPERLINK("https://klasma.github.io/Logging_NYKOPING/klagomålsmail/A 9973-2022.docx", "A 9973-2022")</f>
        <v/>
      </c>
      <c r="X93">
        <f>HYPERLINK("https://klasma.github.io/Logging_NYKOPING/tillsyn/A 9973-2022.docx", "A 9973-2022")</f>
        <v/>
      </c>
      <c r="Y93">
        <f>HYPERLINK("https://klasma.github.io/Logging_NYKOPING/tillsynsmail/A 9973-2022.docx", "A 9973-2022")</f>
        <v/>
      </c>
    </row>
    <row r="94" ht="15" customHeight="1">
      <c r="A94" t="inlineStr">
        <is>
          <t>A 11751-2022</t>
        </is>
      </c>
      <c r="B94" s="1" t="n">
        <v>44634</v>
      </c>
      <c r="C94" s="1" t="n">
        <v>45189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0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Ljungögontröst</t>
        </is>
      </c>
      <c r="S94">
        <f>HYPERLINK("https://klasma.github.io/Logging_NYKOPING/artfynd/A 11751-2022.xlsx", "A 11751-2022")</f>
        <v/>
      </c>
      <c r="T94">
        <f>HYPERLINK("https://klasma.github.io/Logging_NYKOPING/kartor/A 11751-2022.png", "A 11751-2022")</f>
        <v/>
      </c>
      <c r="V94">
        <f>HYPERLINK("https://klasma.github.io/Logging_NYKOPING/klagomål/A 11751-2022.docx", "A 11751-2022")</f>
        <v/>
      </c>
      <c r="W94">
        <f>HYPERLINK("https://klasma.github.io/Logging_NYKOPING/klagomålsmail/A 11751-2022.docx", "A 11751-2022")</f>
        <v/>
      </c>
      <c r="X94">
        <f>HYPERLINK("https://klasma.github.io/Logging_NYKOPING/tillsyn/A 11751-2022.docx", "A 11751-2022")</f>
        <v/>
      </c>
      <c r="Y94">
        <f>HYPERLINK("https://klasma.github.io/Logging_NYKOPING/tillsynsmail/A 11751-2022.docx", "A 11751-2022")</f>
        <v/>
      </c>
    </row>
    <row r="95" ht="15" customHeight="1">
      <c r="A95" t="inlineStr">
        <is>
          <t>A 13464-2022</t>
        </is>
      </c>
      <c r="B95" s="1" t="n">
        <v>44645</v>
      </c>
      <c r="C95" s="1" t="n">
        <v>45189</v>
      </c>
      <c r="D95" t="inlineStr">
        <is>
          <t>SÖDERMANLANDS LÄN</t>
        </is>
      </c>
      <c r="E95" t="inlineStr">
        <is>
          <t>NYKÖPING</t>
        </is>
      </c>
      <c r="G95" t="n">
        <v>12.6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Grönpyrola</t>
        </is>
      </c>
      <c r="S95">
        <f>HYPERLINK("https://klasma.github.io/Logging_NYKOPING/artfynd/A 13464-2022.xlsx", "A 13464-2022")</f>
        <v/>
      </c>
      <c r="T95">
        <f>HYPERLINK("https://klasma.github.io/Logging_NYKOPING/kartor/A 13464-2022.png", "A 13464-2022")</f>
        <v/>
      </c>
      <c r="V95">
        <f>HYPERLINK("https://klasma.github.io/Logging_NYKOPING/klagomål/A 13464-2022.docx", "A 13464-2022")</f>
        <v/>
      </c>
      <c r="W95">
        <f>HYPERLINK("https://klasma.github.io/Logging_NYKOPING/klagomålsmail/A 13464-2022.docx", "A 13464-2022")</f>
        <v/>
      </c>
      <c r="X95">
        <f>HYPERLINK("https://klasma.github.io/Logging_NYKOPING/tillsyn/A 13464-2022.docx", "A 13464-2022")</f>
        <v/>
      </c>
      <c r="Y95">
        <f>HYPERLINK("https://klasma.github.io/Logging_NYKOPING/tillsynsmail/A 13464-2022.docx", "A 13464-2022")</f>
        <v/>
      </c>
    </row>
    <row r="96" ht="15" customHeight="1">
      <c r="A96" t="inlineStr">
        <is>
          <t>A 36996-2022</t>
        </is>
      </c>
      <c r="B96" s="1" t="n">
        <v>44806</v>
      </c>
      <c r="C96" s="1" t="n">
        <v>45189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1.8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Vågbandad barkbock</t>
        </is>
      </c>
      <c r="S96">
        <f>HYPERLINK("https://klasma.github.io/Logging_NYKOPING/artfynd/A 36996-2022.xlsx", "A 36996-2022")</f>
        <v/>
      </c>
      <c r="T96">
        <f>HYPERLINK("https://klasma.github.io/Logging_NYKOPING/kartor/A 36996-2022.png", "A 36996-2022")</f>
        <v/>
      </c>
      <c r="V96">
        <f>HYPERLINK("https://klasma.github.io/Logging_NYKOPING/klagomål/A 36996-2022.docx", "A 36996-2022")</f>
        <v/>
      </c>
      <c r="W96">
        <f>HYPERLINK("https://klasma.github.io/Logging_NYKOPING/klagomålsmail/A 36996-2022.docx", "A 36996-2022")</f>
        <v/>
      </c>
      <c r="X96">
        <f>HYPERLINK("https://klasma.github.io/Logging_NYKOPING/tillsyn/A 36996-2022.docx", "A 36996-2022")</f>
        <v/>
      </c>
      <c r="Y96">
        <f>HYPERLINK("https://klasma.github.io/Logging_NYKOPING/tillsynsmail/A 36996-2022.docx", "A 36996-2022")</f>
        <v/>
      </c>
    </row>
    <row r="97" ht="15" customHeight="1">
      <c r="A97" t="inlineStr">
        <is>
          <t>A 39740-2022</t>
        </is>
      </c>
      <c r="B97" s="1" t="n">
        <v>44817</v>
      </c>
      <c r="C97" s="1" t="n">
        <v>45189</v>
      </c>
      <c r="D97" t="inlineStr">
        <is>
          <t>SÖDERMANLANDS LÄN</t>
        </is>
      </c>
      <c r="E97" t="inlineStr">
        <is>
          <t>NYKÖPING</t>
        </is>
      </c>
      <c r="F97" t="inlineStr">
        <is>
          <t>Kommuner</t>
        </is>
      </c>
      <c r="G97" t="n">
        <v>3.4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HYPERLINK("https://klasma.github.io/Logging_NYKOPING/artfynd/A 39740-2022.xlsx", "A 39740-2022")</f>
        <v/>
      </c>
      <c r="T97">
        <f>HYPERLINK("https://klasma.github.io/Logging_NYKOPING/kartor/A 39740-2022.png", "A 39740-2022")</f>
        <v/>
      </c>
      <c r="V97">
        <f>HYPERLINK("https://klasma.github.io/Logging_NYKOPING/klagomål/A 39740-2022.docx", "A 39740-2022")</f>
        <v/>
      </c>
      <c r="W97">
        <f>HYPERLINK("https://klasma.github.io/Logging_NYKOPING/klagomålsmail/A 39740-2022.docx", "A 39740-2022")</f>
        <v/>
      </c>
      <c r="X97">
        <f>HYPERLINK("https://klasma.github.io/Logging_NYKOPING/tillsyn/A 39740-2022.docx", "A 39740-2022")</f>
        <v/>
      </c>
      <c r="Y97">
        <f>HYPERLINK("https://klasma.github.io/Logging_NYKOPING/tillsynsmail/A 39740-2022.docx", "A 39740-2022")</f>
        <v/>
      </c>
    </row>
    <row r="98" ht="15" customHeight="1">
      <c r="A98" t="inlineStr">
        <is>
          <t>A 2842-2023</t>
        </is>
      </c>
      <c r="B98" s="1" t="n">
        <v>44945</v>
      </c>
      <c r="C98" s="1" t="n">
        <v>45189</v>
      </c>
      <c r="D98" t="inlineStr">
        <is>
          <t>SÖDERMANLANDS LÄN</t>
        </is>
      </c>
      <c r="E98" t="inlineStr">
        <is>
          <t>NYKÖPING</t>
        </is>
      </c>
      <c r="G98" t="n">
        <v>6.7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Svavelriska</t>
        </is>
      </c>
      <c r="S98">
        <f>HYPERLINK("https://klasma.github.io/Logging_NYKOPING/artfynd/A 2842-2023.xlsx", "A 2842-2023")</f>
        <v/>
      </c>
      <c r="T98">
        <f>HYPERLINK("https://klasma.github.io/Logging_NYKOPING/kartor/A 2842-2023.png", "A 2842-2023")</f>
        <v/>
      </c>
      <c r="V98">
        <f>HYPERLINK("https://klasma.github.io/Logging_NYKOPING/klagomål/A 2842-2023.docx", "A 2842-2023")</f>
        <v/>
      </c>
      <c r="W98">
        <f>HYPERLINK("https://klasma.github.io/Logging_NYKOPING/klagomålsmail/A 2842-2023.docx", "A 2842-2023")</f>
        <v/>
      </c>
      <c r="X98">
        <f>HYPERLINK("https://klasma.github.io/Logging_NYKOPING/tillsyn/A 2842-2023.docx", "A 2842-2023")</f>
        <v/>
      </c>
      <c r="Y98">
        <f>HYPERLINK("https://klasma.github.io/Logging_NYKOPING/tillsynsmail/A 2842-2023.docx", "A 2842-2023")</f>
        <v/>
      </c>
    </row>
    <row r="99" ht="15" customHeight="1">
      <c r="A99" t="inlineStr">
        <is>
          <t>A 12891-2023</t>
        </is>
      </c>
      <c r="B99" s="1" t="n">
        <v>45001</v>
      </c>
      <c r="C99" s="1" t="n">
        <v>45189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Revlummer</t>
        </is>
      </c>
      <c r="S99">
        <f>HYPERLINK("https://klasma.github.io/Logging_NYKOPING/artfynd/A 12891-2023.xlsx", "A 12891-2023")</f>
        <v/>
      </c>
      <c r="T99">
        <f>HYPERLINK("https://klasma.github.io/Logging_NYKOPING/kartor/A 12891-2023.png", "A 12891-2023")</f>
        <v/>
      </c>
      <c r="V99">
        <f>HYPERLINK("https://klasma.github.io/Logging_NYKOPING/klagomål/A 12891-2023.docx", "A 12891-2023")</f>
        <v/>
      </c>
      <c r="W99">
        <f>HYPERLINK("https://klasma.github.io/Logging_NYKOPING/klagomålsmail/A 12891-2023.docx", "A 12891-2023")</f>
        <v/>
      </c>
      <c r="X99">
        <f>HYPERLINK("https://klasma.github.io/Logging_NYKOPING/tillsyn/A 12891-2023.docx", "A 12891-2023")</f>
        <v/>
      </c>
      <c r="Y99">
        <f>HYPERLINK("https://klasma.github.io/Logging_NYKOPING/tillsynsmail/A 12891-2023.docx", "A 12891-2023")</f>
        <v/>
      </c>
    </row>
    <row r="100" ht="15" customHeight="1">
      <c r="A100" t="inlineStr">
        <is>
          <t>A 20325-2023</t>
        </is>
      </c>
      <c r="B100" s="1" t="n">
        <v>45056</v>
      </c>
      <c r="C100" s="1" t="n">
        <v>45189</v>
      </c>
      <c r="D100" t="inlineStr">
        <is>
          <t>SÖDERMANLANDS LÄN</t>
        </is>
      </c>
      <c r="E100" t="inlineStr">
        <is>
          <t>NYKÖPING</t>
        </is>
      </c>
      <c r="G100" t="n">
        <v>0.2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Kamjordstjärna</t>
        </is>
      </c>
      <c r="S100">
        <f>HYPERLINK("https://klasma.github.io/Logging_NYKOPING/artfynd/A 20325-2023.xlsx", "A 20325-2023")</f>
        <v/>
      </c>
      <c r="T100">
        <f>HYPERLINK("https://klasma.github.io/Logging_NYKOPING/kartor/A 20325-2023.png", "A 20325-2023")</f>
        <v/>
      </c>
      <c r="V100">
        <f>HYPERLINK("https://klasma.github.io/Logging_NYKOPING/klagomål/A 20325-2023.docx", "A 20325-2023")</f>
        <v/>
      </c>
      <c r="W100">
        <f>HYPERLINK("https://klasma.github.io/Logging_NYKOPING/klagomålsmail/A 20325-2023.docx", "A 20325-2023")</f>
        <v/>
      </c>
      <c r="X100">
        <f>HYPERLINK("https://klasma.github.io/Logging_NYKOPING/tillsyn/A 20325-2023.docx", "A 20325-2023")</f>
        <v/>
      </c>
      <c r="Y100">
        <f>HYPERLINK("https://klasma.github.io/Logging_NYKOPING/tillsynsmail/A 20325-2023.docx", "A 20325-2023")</f>
        <v/>
      </c>
    </row>
    <row r="101" ht="15" customHeight="1">
      <c r="A101" t="inlineStr">
        <is>
          <t>A 28542-2023</t>
        </is>
      </c>
      <c r="B101" s="1" t="n">
        <v>45103</v>
      </c>
      <c r="C101" s="1" t="n">
        <v>45189</v>
      </c>
      <c r="D101" t="inlineStr">
        <is>
          <t>SÖDERMANLANDS LÄN</t>
        </is>
      </c>
      <c r="E101" t="inlineStr">
        <is>
          <t>NYKÖPING</t>
        </is>
      </c>
      <c r="G101" t="n">
        <v>2.8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HYPERLINK("https://klasma.github.io/Logging_NYKOPING/artfynd/A 28542-2023.xlsx", "A 28542-2023")</f>
        <v/>
      </c>
      <c r="T101">
        <f>HYPERLINK("https://klasma.github.io/Logging_NYKOPING/kartor/A 28542-2023.png", "A 28542-2023")</f>
        <v/>
      </c>
      <c r="U101">
        <f>HYPERLINK("https://klasma.github.io/Logging_NYKOPING/knärot/A 28542-2023.png", "A 28542-2023")</f>
        <v/>
      </c>
      <c r="V101">
        <f>HYPERLINK("https://klasma.github.io/Logging_NYKOPING/klagomål/A 28542-2023.docx", "A 28542-2023")</f>
        <v/>
      </c>
      <c r="W101">
        <f>HYPERLINK("https://klasma.github.io/Logging_NYKOPING/klagomålsmail/A 28542-2023.docx", "A 28542-2023")</f>
        <v/>
      </c>
      <c r="X101">
        <f>HYPERLINK("https://klasma.github.io/Logging_NYKOPING/tillsyn/A 28542-2023.docx", "A 28542-2023")</f>
        <v/>
      </c>
      <c r="Y101">
        <f>HYPERLINK("https://klasma.github.io/Logging_NYKOPING/tillsynsmail/A 28542-2023.docx", "A 28542-2023")</f>
        <v/>
      </c>
    </row>
    <row r="102" ht="15" customHeight="1">
      <c r="A102" t="inlineStr">
        <is>
          <t>A 35122-2023</t>
        </is>
      </c>
      <c r="B102" s="1" t="n">
        <v>45145</v>
      </c>
      <c r="C102" s="1" t="n">
        <v>45189</v>
      </c>
      <c r="D102" t="inlineStr">
        <is>
          <t>SÖDERMANLANDS LÄN</t>
        </is>
      </c>
      <c r="E102" t="inlineStr">
        <is>
          <t>NYKÖPING</t>
        </is>
      </c>
      <c r="G102" t="n">
        <v>3.2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Blåsippa</t>
        </is>
      </c>
      <c r="S102">
        <f>HYPERLINK("https://klasma.github.io/Logging_NYKOPING/artfynd/A 35122-2023.xlsx", "A 35122-2023")</f>
        <v/>
      </c>
      <c r="T102">
        <f>HYPERLINK("https://klasma.github.io/Logging_NYKOPING/kartor/A 35122-2023.png", "A 35122-2023")</f>
        <v/>
      </c>
      <c r="V102">
        <f>HYPERLINK("https://klasma.github.io/Logging_NYKOPING/klagomål/A 35122-2023.docx", "A 35122-2023")</f>
        <v/>
      </c>
      <c r="W102">
        <f>HYPERLINK("https://klasma.github.io/Logging_NYKOPING/klagomålsmail/A 35122-2023.docx", "A 35122-2023")</f>
        <v/>
      </c>
      <c r="X102">
        <f>HYPERLINK("https://klasma.github.io/Logging_NYKOPING/tillsyn/A 35122-2023.docx", "A 35122-2023")</f>
        <v/>
      </c>
      <c r="Y102">
        <f>HYPERLINK("https://klasma.github.io/Logging_NYKOPING/tillsynsmail/A 35122-2023.docx", "A 35122-2023")</f>
        <v/>
      </c>
    </row>
    <row r="103" ht="15" customHeight="1">
      <c r="A103" t="inlineStr">
        <is>
          <t>A 39019-2023</t>
        </is>
      </c>
      <c r="B103" s="1" t="n">
        <v>45163</v>
      </c>
      <c r="C103" s="1" t="n">
        <v>45189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12.3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Mindre hackspett</t>
        </is>
      </c>
      <c r="S103">
        <f>HYPERLINK("https://klasma.github.io/Logging_NYKOPING/artfynd/A 39019-2023.xlsx", "A 39019-2023")</f>
        <v/>
      </c>
      <c r="T103">
        <f>HYPERLINK("https://klasma.github.io/Logging_NYKOPING/kartor/A 39019-2023.png", "A 39019-2023")</f>
        <v/>
      </c>
      <c r="V103">
        <f>HYPERLINK("https://klasma.github.io/Logging_NYKOPING/klagomål/A 39019-2023.docx", "A 39019-2023")</f>
        <v/>
      </c>
      <c r="W103">
        <f>HYPERLINK("https://klasma.github.io/Logging_NYKOPING/klagomålsmail/A 39019-2023.docx", "A 39019-2023")</f>
        <v/>
      </c>
      <c r="X103">
        <f>HYPERLINK("https://klasma.github.io/Logging_NYKOPING/tillsyn/A 39019-2023.docx", "A 39019-2023")</f>
        <v/>
      </c>
      <c r="Y103">
        <f>HYPERLINK("https://klasma.github.io/Logging_NYKOPING/tillsynsmail/A 39019-2023.docx", "A 39019-2023")</f>
        <v/>
      </c>
    </row>
    <row r="104" ht="15" customHeight="1">
      <c r="A104" t="inlineStr">
        <is>
          <t>A 38799-2018</t>
        </is>
      </c>
      <c r="B104" s="1" t="n">
        <v>43340</v>
      </c>
      <c r="C104" s="1" t="n">
        <v>45189</v>
      </c>
      <c r="D104" t="inlineStr">
        <is>
          <t>SÖDERMANLANDS LÄN</t>
        </is>
      </c>
      <c r="E104" t="inlineStr">
        <is>
          <t>NYKÖPING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40788-2018</t>
        </is>
      </c>
      <c r="B105" s="1" t="n">
        <v>43347</v>
      </c>
      <c r="C105" s="1" t="n">
        <v>45189</v>
      </c>
      <c r="D105" t="inlineStr">
        <is>
          <t>SÖDERMANLANDS LÄN</t>
        </is>
      </c>
      <c r="E105" t="inlineStr">
        <is>
          <t>NYKÖPING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41857-2018</t>
        </is>
      </c>
      <c r="B106" s="1" t="n">
        <v>43348</v>
      </c>
      <c r="C106" s="1" t="n">
        <v>45189</v>
      </c>
      <c r="D106" t="inlineStr">
        <is>
          <t>SÖDERMANLANDS LÄN</t>
        </is>
      </c>
      <c r="E106" t="inlineStr">
        <is>
          <t>NYKÖPING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43476-2018</t>
        </is>
      </c>
      <c r="B107" s="1" t="n">
        <v>43353</v>
      </c>
      <c r="C107" s="1" t="n">
        <v>45189</v>
      </c>
      <c r="D107" t="inlineStr">
        <is>
          <t>SÖDERMANLANDS LÄN</t>
        </is>
      </c>
      <c r="E107" t="inlineStr">
        <is>
          <t>NYKÖPING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47950-2018</t>
        </is>
      </c>
      <c r="B108" s="1" t="n">
        <v>43368</v>
      </c>
      <c r="C108" s="1" t="n">
        <v>45189</v>
      </c>
      <c r="D108" t="inlineStr">
        <is>
          <t>SÖDERMANLANDS LÄN</t>
        </is>
      </c>
      <c r="E108" t="inlineStr">
        <is>
          <t>NYKÖPING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48232-2018</t>
        </is>
      </c>
      <c r="B109" s="1" t="n">
        <v>43371</v>
      </c>
      <c r="C109" s="1" t="n">
        <v>45189</v>
      </c>
      <c r="D109" t="inlineStr">
        <is>
          <t>SÖDERMANLANDS LÄN</t>
        </is>
      </c>
      <c r="E109" t="inlineStr">
        <is>
          <t>NYKÖPING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49172-2018</t>
        </is>
      </c>
      <c r="B110" s="1" t="n">
        <v>43375</v>
      </c>
      <c r="C110" s="1" t="n">
        <v>45189</v>
      </c>
      <c r="D110" t="inlineStr">
        <is>
          <t>SÖDERMANLANDS LÄN</t>
        </is>
      </c>
      <c r="E110" t="inlineStr">
        <is>
          <t>NYKÖPING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52370-2018</t>
        </is>
      </c>
      <c r="B111" s="1" t="n">
        <v>43383</v>
      </c>
      <c r="C111" s="1" t="n">
        <v>45189</v>
      </c>
      <c r="D111" t="inlineStr">
        <is>
          <t>SÖDERMANLANDS LÄN</t>
        </is>
      </c>
      <c r="E111" t="inlineStr">
        <is>
          <t>NYKÖPING</t>
        </is>
      </c>
      <c r="F111" t="inlineStr">
        <is>
          <t>Allmännings- och besparingsskogar</t>
        </is>
      </c>
      <c r="G111" t="n">
        <v>20.9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52356-2018</t>
        </is>
      </c>
      <c r="B112" s="1" t="n">
        <v>43383</v>
      </c>
      <c r="C112" s="1" t="n">
        <v>45189</v>
      </c>
      <c r="D112" t="inlineStr">
        <is>
          <t>SÖDERMANLANDS LÄN</t>
        </is>
      </c>
      <c r="E112" t="inlineStr">
        <is>
          <t>NYKÖPING</t>
        </is>
      </c>
      <c r="F112" t="inlineStr">
        <is>
          <t>Allmännings- och besparingsskogar</t>
        </is>
      </c>
      <c r="G112" t="n">
        <v>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54814-2018</t>
        </is>
      </c>
      <c r="B113" s="1" t="n">
        <v>43395</v>
      </c>
      <c r="C113" s="1" t="n">
        <v>45189</v>
      </c>
      <c r="D113" t="inlineStr">
        <is>
          <t>SÖDERMANLANDS LÄN</t>
        </is>
      </c>
      <c r="E113" t="inlineStr">
        <is>
          <t>NYKÖPING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54815-2018</t>
        </is>
      </c>
      <c r="B114" s="1" t="n">
        <v>43395</v>
      </c>
      <c r="C114" s="1" t="n">
        <v>45189</v>
      </c>
      <c r="D114" t="inlineStr">
        <is>
          <t>SÖDERMANLANDS LÄN</t>
        </is>
      </c>
      <c r="E114" t="inlineStr">
        <is>
          <t>NYKÖPING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57853-2018</t>
        </is>
      </c>
      <c r="B115" s="1" t="n">
        <v>43397</v>
      </c>
      <c r="C115" s="1" t="n">
        <v>45189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Kyrkan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62955-2018</t>
        </is>
      </c>
      <c r="B116" s="1" t="n">
        <v>43417</v>
      </c>
      <c r="C116" s="1" t="n">
        <v>45189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8.5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62958-2018</t>
        </is>
      </c>
      <c r="B117" s="1" t="n">
        <v>43417</v>
      </c>
      <c r="C117" s="1" t="n">
        <v>45189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Övriga Aktiebolag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63056-2018</t>
        </is>
      </c>
      <c r="B118" s="1" t="n">
        <v>43418</v>
      </c>
      <c r="C118" s="1" t="n">
        <v>45189</v>
      </c>
      <c r="D118" t="inlineStr">
        <is>
          <t>SÖDERMANLANDS LÄN</t>
        </is>
      </c>
      <c r="E118" t="inlineStr">
        <is>
          <t>NYKÖPING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63916-2018</t>
        </is>
      </c>
      <c r="B119" s="1" t="n">
        <v>43418</v>
      </c>
      <c r="C119" s="1" t="n">
        <v>45189</v>
      </c>
      <c r="D119" t="inlineStr">
        <is>
          <t>SÖDERMANLANDS LÄN</t>
        </is>
      </c>
      <c r="E119" t="inlineStr">
        <is>
          <t>NYKÖPING</t>
        </is>
      </c>
      <c r="F119" t="inlineStr">
        <is>
          <t>Allmännings- och besparingsskogar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59570-2018</t>
        </is>
      </c>
      <c r="B120" s="1" t="n">
        <v>43419</v>
      </c>
      <c r="C120" s="1" t="n">
        <v>45189</v>
      </c>
      <c r="D120" t="inlineStr">
        <is>
          <t>SÖDERMANLANDS LÄN</t>
        </is>
      </c>
      <c r="E120" t="inlineStr">
        <is>
          <t>NYKÖPING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59561-2018</t>
        </is>
      </c>
      <c r="B121" s="1" t="n">
        <v>43419</v>
      </c>
      <c r="C121" s="1" t="n">
        <v>45189</v>
      </c>
      <c r="D121" t="inlineStr">
        <is>
          <t>SÖDERMANLANDS LÄN</t>
        </is>
      </c>
      <c r="E121" t="inlineStr">
        <is>
          <t>NYKÖPING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61053-2018</t>
        </is>
      </c>
      <c r="B122" s="1" t="n">
        <v>43423</v>
      </c>
      <c r="C122" s="1" t="n">
        <v>45189</v>
      </c>
      <c r="D122" t="inlineStr">
        <is>
          <t>SÖDERMANLANDS LÄN</t>
        </is>
      </c>
      <c r="E122" t="inlineStr">
        <is>
          <t>NYKÖPING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61379-2018</t>
        </is>
      </c>
      <c r="B123" s="1" t="n">
        <v>43424</v>
      </c>
      <c r="C123" s="1" t="n">
        <v>45189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65623-2018</t>
        </is>
      </c>
      <c r="B124" s="1" t="n">
        <v>43425</v>
      </c>
      <c r="C124" s="1" t="n">
        <v>45189</v>
      </c>
      <c r="D124" t="inlineStr">
        <is>
          <t>SÖDERMANLANDS LÄN</t>
        </is>
      </c>
      <c r="E124" t="inlineStr">
        <is>
          <t>NYKÖPING</t>
        </is>
      </c>
      <c r="F124" t="inlineStr">
        <is>
          <t>Kyrkan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67254-2018</t>
        </is>
      </c>
      <c r="B125" s="1" t="n">
        <v>43432</v>
      </c>
      <c r="C125" s="1" t="n">
        <v>45189</v>
      </c>
      <c r="D125" t="inlineStr">
        <is>
          <t>SÖDERMANLANDS LÄN</t>
        </is>
      </c>
      <c r="E125" t="inlineStr">
        <is>
          <t>NYKÖPING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67283-2018</t>
        </is>
      </c>
      <c r="B126" s="1" t="n">
        <v>43432</v>
      </c>
      <c r="C126" s="1" t="n">
        <v>45189</v>
      </c>
      <c r="D126" t="inlineStr">
        <is>
          <t>SÖDERMANLANDS LÄN</t>
        </is>
      </c>
      <c r="E126" t="inlineStr">
        <is>
          <t>NYKÖPING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67285-2018</t>
        </is>
      </c>
      <c r="B127" s="1" t="n">
        <v>43432</v>
      </c>
      <c r="C127" s="1" t="n">
        <v>45189</v>
      </c>
      <c r="D127" t="inlineStr">
        <is>
          <t>SÖDERMANLANDS LÄN</t>
        </is>
      </c>
      <c r="E127" t="inlineStr">
        <is>
          <t>NYKÖPING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67276-2018</t>
        </is>
      </c>
      <c r="B128" s="1" t="n">
        <v>43432</v>
      </c>
      <c r="C128" s="1" t="n">
        <v>45189</v>
      </c>
      <c r="D128" t="inlineStr">
        <is>
          <t>SÖDERMANLANDS LÄN</t>
        </is>
      </c>
      <c r="E128" t="inlineStr">
        <is>
          <t>NYKÖPING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66165-2018</t>
        </is>
      </c>
      <c r="B129" s="1" t="n">
        <v>43434</v>
      </c>
      <c r="C129" s="1" t="n">
        <v>45189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66166-2018</t>
        </is>
      </c>
      <c r="B130" s="1" t="n">
        <v>43434</v>
      </c>
      <c r="C130" s="1" t="n">
        <v>45189</v>
      </c>
      <c r="D130" t="inlineStr">
        <is>
          <t>SÖDERMANLANDS LÄN</t>
        </is>
      </c>
      <c r="E130" t="inlineStr">
        <is>
          <t>NYKÖPING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67053-2018</t>
        </is>
      </c>
      <c r="B131" s="1" t="n">
        <v>43438</v>
      </c>
      <c r="C131" s="1" t="n">
        <v>45189</v>
      </c>
      <c r="D131" t="inlineStr">
        <is>
          <t>SÖDERMANLANDS LÄN</t>
        </is>
      </c>
      <c r="E131" t="inlineStr">
        <is>
          <t>NYKÖPING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68268-2018</t>
        </is>
      </c>
      <c r="B132" s="1" t="n">
        <v>43441</v>
      </c>
      <c r="C132" s="1" t="n">
        <v>45189</v>
      </c>
      <c r="D132" t="inlineStr">
        <is>
          <t>SÖDERMANLANDS LÄN</t>
        </is>
      </c>
      <c r="E132" t="inlineStr">
        <is>
          <t>NYKÖPING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68192-2018</t>
        </is>
      </c>
      <c r="B133" s="1" t="n">
        <v>43441</v>
      </c>
      <c r="C133" s="1" t="n">
        <v>45189</v>
      </c>
      <c r="D133" t="inlineStr">
        <is>
          <t>SÖDERMANLANDS LÄN</t>
        </is>
      </c>
      <c r="E133" t="inlineStr">
        <is>
          <t>NYKÖPING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71086-2018</t>
        </is>
      </c>
      <c r="B134" s="1" t="n">
        <v>43452</v>
      </c>
      <c r="C134" s="1" t="n">
        <v>45189</v>
      </c>
      <c r="D134" t="inlineStr">
        <is>
          <t>SÖDERMANLANDS LÄN</t>
        </is>
      </c>
      <c r="E134" t="inlineStr">
        <is>
          <t>NYKÖPING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71087-2018</t>
        </is>
      </c>
      <c r="B135" s="1" t="n">
        <v>43452</v>
      </c>
      <c r="C135" s="1" t="n">
        <v>45189</v>
      </c>
      <c r="D135" t="inlineStr">
        <is>
          <t>SÖDERMANLANDS LÄN</t>
        </is>
      </c>
      <c r="E135" t="inlineStr">
        <is>
          <t>NYKÖPING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71331-2018</t>
        </is>
      </c>
      <c r="B136" s="1" t="n">
        <v>43453</v>
      </c>
      <c r="C136" s="1" t="n">
        <v>45189</v>
      </c>
      <c r="D136" t="inlineStr">
        <is>
          <t>SÖDERMANLANDS LÄN</t>
        </is>
      </c>
      <c r="E136" t="inlineStr">
        <is>
          <t>NYKÖPING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1630-2019</t>
        </is>
      </c>
      <c r="B137" s="1" t="n">
        <v>43461</v>
      </c>
      <c r="C137" s="1" t="n">
        <v>45189</v>
      </c>
      <c r="D137" t="inlineStr">
        <is>
          <t>SÖDERMANLANDS LÄN</t>
        </is>
      </c>
      <c r="E137" t="inlineStr">
        <is>
          <t>NYKÖPING</t>
        </is>
      </c>
      <c r="F137" t="inlineStr">
        <is>
          <t>Allmännings- och besparingsskogar</t>
        </is>
      </c>
      <c r="G137" t="n">
        <v>31.1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205-2019</t>
        </is>
      </c>
      <c r="B138" s="1" t="n">
        <v>43467</v>
      </c>
      <c r="C138" s="1" t="n">
        <v>45189</v>
      </c>
      <c r="D138" t="inlineStr">
        <is>
          <t>SÖDERMANLANDS LÄN</t>
        </is>
      </c>
      <c r="E138" t="inlineStr">
        <is>
          <t>NYKÖPING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892-2019</t>
        </is>
      </c>
      <c r="B139" s="1" t="n">
        <v>43472</v>
      </c>
      <c r="C139" s="1" t="n">
        <v>45189</v>
      </c>
      <c r="D139" t="inlineStr">
        <is>
          <t>SÖDERMANLANDS LÄN</t>
        </is>
      </c>
      <c r="E139" t="inlineStr">
        <is>
          <t>NYKÖPING</t>
        </is>
      </c>
      <c r="G139" t="n">
        <v>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1781-2019</t>
        </is>
      </c>
      <c r="B140" s="1" t="n">
        <v>43474</v>
      </c>
      <c r="C140" s="1" t="n">
        <v>45189</v>
      </c>
      <c r="D140" t="inlineStr">
        <is>
          <t>SÖDERMANLANDS LÄN</t>
        </is>
      </c>
      <c r="E140" t="inlineStr">
        <is>
          <t>NYKÖPING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4609-2019</t>
        </is>
      </c>
      <c r="B141" s="1" t="n">
        <v>43486</v>
      </c>
      <c r="C141" s="1" t="n">
        <v>45189</v>
      </c>
      <c r="D141" t="inlineStr">
        <is>
          <t>SÖDERMANLANDS LÄN</t>
        </is>
      </c>
      <c r="E141" t="inlineStr">
        <is>
          <t>NYKÖPING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6786-2019</t>
        </is>
      </c>
      <c r="B142" s="1" t="n">
        <v>43488</v>
      </c>
      <c r="C142" s="1" t="n">
        <v>45189</v>
      </c>
      <c r="D142" t="inlineStr">
        <is>
          <t>SÖDERMANLANDS LÄN</t>
        </is>
      </c>
      <c r="E142" t="inlineStr">
        <is>
          <t>NYKÖPING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5558-2019</t>
        </is>
      </c>
      <c r="B143" s="1" t="n">
        <v>43489</v>
      </c>
      <c r="C143" s="1" t="n">
        <v>45189</v>
      </c>
      <c r="D143" t="inlineStr">
        <is>
          <t>SÖDERMANLANDS LÄN</t>
        </is>
      </c>
      <c r="E143" t="inlineStr">
        <is>
          <t>NYKÖPING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5564-2019</t>
        </is>
      </c>
      <c r="B144" s="1" t="n">
        <v>43489</v>
      </c>
      <c r="C144" s="1" t="n">
        <v>45189</v>
      </c>
      <c r="D144" t="inlineStr">
        <is>
          <t>SÖDERMANLANDS LÄN</t>
        </is>
      </c>
      <c r="E144" t="inlineStr">
        <is>
          <t>NYKÖPING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6351-2019</t>
        </is>
      </c>
      <c r="B145" s="1" t="n">
        <v>43493</v>
      </c>
      <c r="C145" s="1" t="n">
        <v>45189</v>
      </c>
      <c r="D145" t="inlineStr">
        <is>
          <t>SÖDERMANLANDS LÄN</t>
        </is>
      </c>
      <c r="E145" t="inlineStr">
        <is>
          <t>NYKÖPING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7172-2019</t>
        </is>
      </c>
      <c r="B146" s="1" t="n">
        <v>43496</v>
      </c>
      <c r="C146" s="1" t="n">
        <v>45189</v>
      </c>
      <c r="D146" t="inlineStr">
        <is>
          <t>SÖDERMANLANDS LÄN</t>
        </is>
      </c>
      <c r="E146" t="inlineStr">
        <is>
          <t>NYKÖPING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7532-2019</t>
        </is>
      </c>
      <c r="B147" s="1" t="n">
        <v>43497</v>
      </c>
      <c r="C147" s="1" t="n">
        <v>45189</v>
      </c>
      <c r="D147" t="inlineStr">
        <is>
          <t>SÖDERMANLANDS LÄN</t>
        </is>
      </c>
      <c r="E147" t="inlineStr">
        <is>
          <t>NYKÖPING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7914-2019</t>
        </is>
      </c>
      <c r="B148" s="1" t="n">
        <v>43501</v>
      </c>
      <c r="C148" s="1" t="n">
        <v>45189</v>
      </c>
      <c r="D148" t="inlineStr">
        <is>
          <t>SÖDERMANLANDS LÄN</t>
        </is>
      </c>
      <c r="E148" t="inlineStr">
        <is>
          <t>NYKÖPING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7920-2019</t>
        </is>
      </c>
      <c r="B149" s="1" t="n">
        <v>43501</v>
      </c>
      <c r="C149" s="1" t="n">
        <v>45189</v>
      </c>
      <c r="D149" t="inlineStr">
        <is>
          <t>SÖDERMANLANDS LÄN</t>
        </is>
      </c>
      <c r="E149" t="inlineStr">
        <is>
          <t>NYKÖPING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7913-2019</t>
        </is>
      </c>
      <c r="B150" s="1" t="n">
        <v>43501</v>
      </c>
      <c r="C150" s="1" t="n">
        <v>45189</v>
      </c>
      <c r="D150" t="inlineStr">
        <is>
          <t>SÖDERMANLANDS LÄN</t>
        </is>
      </c>
      <c r="E150" t="inlineStr">
        <is>
          <t>NYKÖPING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7927-2019</t>
        </is>
      </c>
      <c r="B151" s="1" t="n">
        <v>43501</v>
      </c>
      <c r="C151" s="1" t="n">
        <v>45189</v>
      </c>
      <c r="D151" t="inlineStr">
        <is>
          <t>SÖDERMANLANDS LÄN</t>
        </is>
      </c>
      <c r="E151" t="inlineStr">
        <is>
          <t>NYKÖPING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9419-2019</t>
        </is>
      </c>
      <c r="B152" s="1" t="n">
        <v>43507</v>
      </c>
      <c r="C152" s="1" t="n">
        <v>45189</v>
      </c>
      <c r="D152" t="inlineStr">
        <is>
          <t>SÖDERMANLANDS LÄN</t>
        </is>
      </c>
      <c r="E152" t="inlineStr">
        <is>
          <t>NYKÖPING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10813-2019</t>
        </is>
      </c>
      <c r="B153" s="1" t="n">
        <v>43514</v>
      </c>
      <c r="C153" s="1" t="n">
        <v>45189</v>
      </c>
      <c r="D153" t="inlineStr">
        <is>
          <t>SÖDERMANLANDS LÄN</t>
        </is>
      </c>
      <c r="E153" t="inlineStr">
        <is>
          <t>NYKÖPING</t>
        </is>
      </c>
      <c r="G153" t="n">
        <v>13.2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11019-2019</t>
        </is>
      </c>
      <c r="B154" s="1" t="n">
        <v>43515</v>
      </c>
      <c r="C154" s="1" t="n">
        <v>45189</v>
      </c>
      <c r="D154" t="inlineStr">
        <is>
          <t>SÖDERMANLANDS LÄN</t>
        </is>
      </c>
      <c r="E154" t="inlineStr">
        <is>
          <t>NYKÖPING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11087-2019</t>
        </is>
      </c>
      <c r="B155" s="1" t="n">
        <v>43516</v>
      </c>
      <c r="C155" s="1" t="n">
        <v>45189</v>
      </c>
      <c r="D155" t="inlineStr">
        <is>
          <t>SÖDERMANLANDS LÄN</t>
        </is>
      </c>
      <c r="E155" t="inlineStr">
        <is>
          <t>NYKÖPING</t>
        </is>
      </c>
      <c r="G155" t="n">
        <v>13.9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11846-2019</t>
        </is>
      </c>
      <c r="B156" s="1" t="n">
        <v>43521</v>
      </c>
      <c r="C156" s="1" t="n">
        <v>45189</v>
      </c>
      <c r="D156" t="inlineStr">
        <is>
          <t>SÖDERMANLANDS LÄN</t>
        </is>
      </c>
      <c r="E156" t="inlineStr">
        <is>
          <t>NYKÖPING</t>
        </is>
      </c>
      <c r="G156" t="n">
        <v>11.9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12205-2019</t>
        </is>
      </c>
      <c r="B157" s="1" t="n">
        <v>43522</v>
      </c>
      <c r="C157" s="1" t="n">
        <v>45189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Holmen skog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12304-2019</t>
        </is>
      </c>
      <c r="B158" s="1" t="n">
        <v>43523</v>
      </c>
      <c r="C158" s="1" t="n">
        <v>45189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12374-2019</t>
        </is>
      </c>
      <c r="B159" s="1" t="n">
        <v>43523</v>
      </c>
      <c r="C159" s="1" t="n">
        <v>45189</v>
      </c>
      <c r="D159" t="inlineStr">
        <is>
          <t>SÖDERMANLANDS LÄN</t>
        </is>
      </c>
      <c r="E159" t="inlineStr">
        <is>
          <t>NYKÖPING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12880-2019</t>
        </is>
      </c>
      <c r="B160" s="1" t="n">
        <v>43525</v>
      </c>
      <c r="C160" s="1" t="n">
        <v>45189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24.1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12890-2019</t>
        </is>
      </c>
      <c r="B161" s="1" t="n">
        <v>43525</v>
      </c>
      <c r="C161" s="1" t="n">
        <v>45189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Kyrkan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13001-2019</t>
        </is>
      </c>
      <c r="B162" s="1" t="n">
        <v>43528</v>
      </c>
      <c r="C162" s="1" t="n">
        <v>45189</v>
      </c>
      <c r="D162" t="inlineStr">
        <is>
          <t>SÖDERMANLANDS LÄN</t>
        </is>
      </c>
      <c r="E162" t="inlineStr">
        <is>
          <t>NYKÖPING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13201-2019</t>
        </is>
      </c>
      <c r="B163" s="1" t="n">
        <v>43528</v>
      </c>
      <c r="C163" s="1" t="n">
        <v>45189</v>
      </c>
      <c r="D163" t="inlineStr">
        <is>
          <t>SÖDERMANLANDS LÄN</t>
        </is>
      </c>
      <c r="E163" t="inlineStr">
        <is>
          <t>NYKÖPING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15024-2019</t>
        </is>
      </c>
      <c r="B164" s="1" t="n">
        <v>43537</v>
      </c>
      <c r="C164" s="1" t="n">
        <v>45189</v>
      </c>
      <c r="D164" t="inlineStr">
        <is>
          <t>SÖDERMANLANDS LÄN</t>
        </is>
      </c>
      <c r="E164" t="inlineStr">
        <is>
          <t>NYKÖPING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15166-2019</t>
        </is>
      </c>
      <c r="B165" s="1" t="n">
        <v>43538</v>
      </c>
      <c r="C165" s="1" t="n">
        <v>45189</v>
      </c>
      <c r="D165" t="inlineStr">
        <is>
          <t>SÖDERMANLANDS LÄN</t>
        </is>
      </c>
      <c r="E165" t="inlineStr">
        <is>
          <t>NYKÖPING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15149-2019</t>
        </is>
      </c>
      <c r="B166" s="1" t="n">
        <v>43538</v>
      </c>
      <c r="C166" s="1" t="n">
        <v>45189</v>
      </c>
      <c r="D166" t="inlineStr">
        <is>
          <t>SÖDERMANLANDS LÄN</t>
        </is>
      </c>
      <c r="E166" t="inlineStr">
        <is>
          <t>NYKÖPING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15172-2019</t>
        </is>
      </c>
      <c r="B167" s="1" t="n">
        <v>43538</v>
      </c>
      <c r="C167" s="1" t="n">
        <v>45189</v>
      </c>
      <c r="D167" t="inlineStr">
        <is>
          <t>SÖDERMANLANDS LÄN</t>
        </is>
      </c>
      <c r="E167" t="inlineStr">
        <is>
          <t>NYKÖPING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15144-2019</t>
        </is>
      </c>
      <c r="B168" s="1" t="n">
        <v>43538</v>
      </c>
      <c r="C168" s="1" t="n">
        <v>45189</v>
      </c>
      <c r="D168" t="inlineStr">
        <is>
          <t>SÖDERMANLANDS LÄN</t>
        </is>
      </c>
      <c r="E168" t="inlineStr">
        <is>
          <t>NYKÖPING</t>
        </is>
      </c>
      <c r="G168" t="n">
        <v>10.6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14350-2019</t>
        </is>
      </c>
      <c r="B169" s="1" t="n">
        <v>43538</v>
      </c>
      <c r="C169" s="1" t="n">
        <v>45189</v>
      </c>
      <c r="D169" t="inlineStr">
        <is>
          <t>SÖDERMANLANDS LÄN</t>
        </is>
      </c>
      <c r="E169" t="inlineStr">
        <is>
          <t>NYKÖPING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15536-2019</t>
        </is>
      </c>
      <c r="B170" s="1" t="n">
        <v>43542</v>
      </c>
      <c r="C170" s="1" t="n">
        <v>45189</v>
      </c>
      <c r="D170" t="inlineStr">
        <is>
          <t>SÖDERMANLANDS LÄN</t>
        </is>
      </c>
      <c r="E170" t="inlineStr">
        <is>
          <t>NYKÖPING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15207-2019</t>
        </is>
      </c>
      <c r="B171" s="1" t="n">
        <v>43542</v>
      </c>
      <c r="C171" s="1" t="n">
        <v>45189</v>
      </c>
      <c r="D171" t="inlineStr">
        <is>
          <t>SÖDERMANLANDS LÄN</t>
        </is>
      </c>
      <c r="E171" t="inlineStr">
        <is>
          <t>NYKÖPING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15681-2019</t>
        </is>
      </c>
      <c r="B172" s="1" t="n">
        <v>43543</v>
      </c>
      <c r="C172" s="1" t="n">
        <v>45189</v>
      </c>
      <c r="D172" t="inlineStr">
        <is>
          <t>SÖDERMANLANDS LÄN</t>
        </is>
      </c>
      <c r="E172" t="inlineStr">
        <is>
          <t>NYKÖPING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16116-2019</t>
        </is>
      </c>
      <c r="B173" s="1" t="n">
        <v>43544</v>
      </c>
      <c r="C173" s="1" t="n">
        <v>45189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16105-2019</t>
        </is>
      </c>
      <c r="B174" s="1" t="n">
        <v>43544</v>
      </c>
      <c r="C174" s="1" t="n">
        <v>45189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16226-2019</t>
        </is>
      </c>
      <c r="B175" s="1" t="n">
        <v>43545</v>
      </c>
      <c r="C175" s="1" t="n">
        <v>45189</v>
      </c>
      <c r="D175" t="inlineStr">
        <is>
          <t>SÖDERMANLANDS LÄN</t>
        </is>
      </c>
      <c r="E175" t="inlineStr">
        <is>
          <t>NYKÖPING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16595-2019</t>
        </is>
      </c>
      <c r="B176" s="1" t="n">
        <v>43546</v>
      </c>
      <c r="C176" s="1" t="n">
        <v>45189</v>
      </c>
      <c r="D176" t="inlineStr">
        <is>
          <t>SÖDERMANLANDS LÄN</t>
        </is>
      </c>
      <c r="E176" t="inlineStr">
        <is>
          <t>NYKÖPING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17434-2019</t>
        </is>
      </c>
      <c r="B177" s="1" t="n">
        <v>43553</v>
      </c>
      <c r="C177" s="1" t="n">
        <v>45189</v>
      </c>
      <c r="D177" t="inlineStr">
        <is>
          <t>SÖDERMANLANDS LÄN</t>
        </is>
      </c>
      <c r="E177" t="inlineStr">
        <is>
          <t>NYKÖPING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17423-2019</t>
        </is>
      </c>
      <c r="B178" s="1" t="n">
        <v>43553</v>
      </c>
      <c r="C178" s="1" t="n">
        <v>45189</v>
      </c>
      <c r="D178" t="inlineStr">
        <is>
          <t>SÖDERMANLANDS LÄN</t>
        </is>
      </c>
      <c r="E178" t="inlineStr">
        <is>
          <t>NYKÖPING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17436-2019</t>
        </is>
      </c>
      <c r="B179" s="1" t="n">
        <v>43553</v>
      </c>
      <c r="C179" s="1" t="n">
        <v>45189</v>
      </c>
      <c r="D179" t="inlineStr">
        <is>
          <t>SÖDERMANLANDS LÄN</t>
        </is>
      </c>
      <c r="E179" t="inlineStr">
        <is>
          <t>NYKÖPING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17815-2019</t>
        </is>
      </c>
      <c r="B180" s="1" t="n">
        <v>43556</v>
      </c>
      <c r="C180" s="1" t="n">
        <v>45189</v>
      </c>
      <c r="D180" t="inlineStr">
        <is>
          <t>SÖDERMANLANDS LÄN</t>
        </is>
      </c>
      <c r="E180" t="inlineStr">
        <is>
          <t>NYKÖPING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17823-2019</t>
        </is>
      </c>
      <c r="B181" s="1" t="n">
        <v>43556</v>
      </c>
      <c r="C181" s="1" t="n">
        <v>45189</v>
      </c>
      <c r="D181" t="inlineStr">
        <is>
          <t>SÖDERMANLANDS LÄN</t>
        </is>
      </c>
      <c r="E181" t="inlineStr">
        <is>
          <t>NYKÖPING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17818-2019</t>
        </is>
      </c>
      <c r="B182" s="1" t="n">
        <v>43556</v>
      </c>
      <c r="C182" s="1" t="n">
        <v>45189</v>
      </c>
      <c r="D182" t="inlineStr">
        <is>
          <t>SÖDERMANLANDS LÄN</t>
        </is>
      </c>
      <c r="E182" t="inlineStr">
        <is>
          <t>NYKÖPING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18334-2019</t>
        </is>
      </c>
      <c r="B183" s="1" t="n">
        <v>43558</v>
      </c>
      <c r="C183" s="1" t="n">
        <v>45189</v>
      </c>
      <c r="D183" t="inlineStr">
        <is>
          <t>SÖDERMANLANDS LÄN</t>
        </is>
      </c>
      <c r="E183" t="inlineStr">
        <is>
          <t>NYKÖPING</t>
        </is>
      </c>
      <c r="G183" t="n">
        <v>13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18740-2019</t>
        </is>
      </c>
      <c r="B184" s="1" t="n">
        <v>43560</v>
      </c>
      <c r="C184" s="1" t="n">
        <v>45189</v>
      </c>
      <c r="D184" t="inlineStr">
        <is>
          <t>SÖDERMANLANDS LÄN</t>
        </is>
      </c>
      <c r="E184" t="inlineStr">
        <is>
          <t>NYKÖPING</t>
        </is>
      </c>
      <c r="F184" t="inlineStr">
        <is>
          <t>Sveaskog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18793-2019</t>
        </is>
      </c>
      <c r="B185" s="1" t="n">
        <v>43562</v>
      </c>
      <c r="C185" s="1" t="n">
        <v>45189</v>
      </c>
      <c r="D185" t="inlineStr">
        <is>
          <t>SÖDERMANLANDS LÄN</t>
        </is>
      </c>
      <c r="E185" t="inlineStr">
        <is>
          <t>NYKÖPING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18786-2019</t>
        </is>
      </c>
      <c r="B186" s="1" t="n">
        <v>43562</v>
      </c>
      <c r="C186" s="1" t="n">
        <v>45189</v>
      </c>
      <c r="D186" t="inlineStr">
        <is>
          <t>SÖDERMANLANDS LÄN</t>
        </is>
      </c>
      <c r="E186" t="inlineStr">
        <is>
          <t>NYKÖPING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19476-2019</t>
        </is>
      </c>
      <c r="B187" s="1" t="n">
        <v>43565</v>
      </c>
      <c r="C187" s="1" t="n">
        <v>45189</v>
      </c>
      <c r="D187" t="inlineStr">
        <is>
          <t>SÖDERMANLANDS LÄN</t>
        </is>
      </c>
      <c r="E187" t="inlineStr">
        <is>
          <t>NYKÖPING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19511-2019</t>
        </is>
      </c>
      <c r="B188" s="1" t="n">
        <v>43565</v>
      </c>
      <c r="C188" s="1" t="n">
        <v>45189</v>
      </c>
      <c r="D188" t="inlineStr">
        <is>
          <t>SÖDERMANLANDS LÄN</t>
        </is>
      </c>
      <c r="E188" t="inlineStr">
        <is>
          <t>NYKÖPING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19427-2019</t>
        </is>
      </c>
      <c r="B189" s="1" t="n">
        <v>43565</v>
      </c>
      <c r="C189" s="1" t="n">
        <v>45189</v>
      </c>
      <c r="D189" t="inlineStr">
        <is>
          <t>SÖDERMANLANDS LÄN</t>
        </is>
      </c>
      <c r="E189" t="inlineStr">
        <is>
          <t>NYKÖPING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19469-2019</t>
        </is>
      </c>
      <c r="B190" s="1" t="n">
        <v>43565</v>
      </c>
      <c r="C190" s="1" t="n">
        <v>45189</v>
      </c>
      <c r="D190" t="inlineStr">
        <is>
          <t>SÖDERMANLANDS LÄN</t>
        </is>
      </c>
      <c r="E190" t="inlineStr">
        <is>
          <t>NYKÖPING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19692-2019</t>
        </is>
      </c>
      <c r="B191" s="1" t="n">
        <v>43566</v>
      </c>
      <c r="C191" s="1" t="n">
        <v>45189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Kyrkan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19980-2019</t>
        </is>
      </c>
      <c r="B192" s="1" t="n">
        <v>43570</v>
      </c>
      <c r="C192" s="1" t="n">
        <v>45189</v>
      </c>
      <c r="D192" t="inlineStr">
        <is>
          <t>SÖDERMANLANDS LÄN</t>
        </is>
      </c>
      <c r="E192" t="inlineStr">
        <is>
          <t>NYKÖPING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21585-2019</t>
        </is>
      </c>
      <c r="B193" s="1" t="n">
        <v>43580</v>
      </c>
      <c r="C193" s="1" t="n">
        <v>45189</v>
      </c>
      <c r="D193" t="inlineStr">
        <is>
          <t>SÖDERMANLANDS LÄN</t>
        </is>
      </c>
      <c r="E193" t="inlineStr">
        <is>
          <t>NYKÖPING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21694-2019</t>
        </is>
      </c>
      <c r="B194" s="1" t="n">
        <v>43581</v>
      </c>
      <c r="C194" s="1" t="n">
        <v>45189</v>
      </c>
      <c r="D194" t="inlineStr">
        <is>
          <t>SÖDERMANLANDS LÄN</t>
        </is>
      </c>
      <c r="E194" t="inlineStr">
        <is>
          <t>NYKÖPING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23053-2019</t>
        </is>
      </c>
      <c r="B195" s="1" t="n">
        <v>43591</v>
      </c>
      <c r="C195" s="1" t="n">
        <v>45189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23055-2019</t>
        </is>
      </c>
      <c r="B196" s="1" t="n">
        <v>43591</v>
      </c>
      <c r="C196" s="1" t="n">
        <v>45189</v>
      </c>
      <c r="D196" t="inlineStr">
        <is>
          <t>SÖDERMANLANDS LÄN</t>
        </is>
      </c>
      <c r="E196" t="inlineStr">
        <is>
          <t>NYKÖPING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23553-2019</t>
        </is>
      </c>
      <c r="B197" s="1" t="n">
        <v>43594</v>
      </c>
      <c r="C197" s="1" t="n">
        <v>45189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Sveaskog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24069-2019</t>
        </is>
      </c>
      <c r="B198" s="1" t="n">
        <v>43598</v>
      </c>
      <c r="C198" s="1" t="n">
        <v>45189</v>
      </c>
      <c r="D198" t="inlineStr">
        <is>
          <t>SÖDERMANLANDS LÄN</t>
        </is>
      </c>
      <c r="E198" t="inlineStr">
        <is>
          <t>NYKÖPING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24368-2019</t>
        </is>
      </c>
      <c r="B199" s="1" t="n">
        <v>43599</v>
      </c>
      <c r="C199" s="1" t="n">
        <v>45189</v>
      </c>
      <c r="D199" t="inlineStr">
        <is>
          <t>SÖDERMANLANDS LÄN</t>
        </is>
      </c>
      <c r="E199" t="inlineStr">
        <is>
          <t>NYKÖPING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24622-2019</t>
        </is>
      </c>
      <c r="B200" s="1" t="n">
        <v>43601</v>
      </c>
      <c r="C200" s="1" t="n">
        <v>45189</v>
      </c>
      <c r="D200" t="inlineStr">
        <is>
          <t>SÖDERMANLANDS LÄN</t>
        </is>
      </c>
      <c r="E200" t="inlineStr">
        <is>
          <t>NYKÖPING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24616-2019</t>
        </is>
      </c>
      <c r="B201" s="1" t="n">
        <v>43601</v>
      </c>
      <c r="C201" s="1" t="n">
        <v>45189</v>
      </c>
      <c r="D201" t="inlineStr">
        <is>
          <t>SÖDERMANLANDS LÄN</t>
        </is>
      </c>
      <c r="E201" t="inlineStr">
        <is>
          <t>NYKÖPING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26542-2019</t>
        </is>
      </c>
      <c r="B202" s="1" t="n">
        <v>43612</v>
      </c>
      <c r="C202" s="1" t="n">
        <v>45189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Kommuner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27545-2019</t>
        </is>
      </c>
      <c r="B203" s="1" t="n">
        <v>43619</v>
      </c>
      <c r="C203" s="1" t="n">
        <v>45189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28025-2019</t>
        </is>
      </c>
      <c r="B204" s="1" t="n">
        <v>43621</v>
      </c>
      <c r="C204" s="1" t="n">
        <v>45189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28029-2019</t>
        </is>
      </c>
      <c r="B205" s="1" t="n">
        <v>43621</v>
      </c>
      <c r="C205" s="1" t="n">
        <v>45189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28035-2019</t>
        </is>
      </c>
      <c r="B206" s="1" t="n">
        <v>43621</v>
      </c>
      <c r="C206" s="1" t="n">
        <v>45189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Övriga Aktiebolag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28568-2019</t>
        </is>
      </c>
      <c r="B207" s="1" t="n">
        <v>43626</v>
      </c>
      <c r="C207" s="1" t="n">
        <v>45189</v>
      </c>
      <c r="D207" t="inlineStr">
        <is>
          <t>SÖDERMANLANDS LÄN</t>
        </is>
      </c>
      <c r="E207" t="inlineStr">
        <is>
          <t>NYKÖPING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28401-2019</t>
        </is>
      </c>
      <c r="B208" s="1" t="n">
        <v>43626</v>
      </c>
      <c r="C208" s="1" t="n">
        <v>45189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28405-2019</t>
        </is>
      </c>
      <c r="B209" s="1" t="n">
        <v>43626</v>
      </c>
      <c r="C209" s="1" t="n">
        <v>45189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28400-2019</t>
        </is>
      </c>
      <c r="B210" s="1" t="n">
        <v>43626</v>
      </c>
      <c r="C210" s="1" t="n">
        <v>45189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28404-2019</t>
        </is>
      </c>
      <c r="B211" s="1" t="n">
        <v>43626</v>
      </c>
      <c r="C211" s="1" t="n">
        <v>45189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28402-2019</t>
        </is>
      </c>
      <c r="B212" s="1" t="n">
        <v>43626</v>
      </c>
      <c r="C212" s="1" t="n">
        <v>45189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Sveaskog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28567-2019</t>
        </is>
      </c>
      <c r="B213" s="1" t="n">
        <v>43626</v>
      </c>
      <c r="C213" s="1" t="n">
        <v>45189</v>
      </c>
      <c r="D213" t="inlineStr">
        <is>
          <t>SÖDERMANLANDS LÄN</t>
        </is>
      </c>
      <c r="E213" t="inlineStr">
        <is>
          <t>NYKÖPING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28719-2019</t>
        </is>
      </c>
      <c r="B214" s="1" t="n">
        <v>43627</v>
      </c>
      <c r="C214" s="1" t="n">
        <v>45189</v>
      </c>
      <c r="D214" t="inlineStr">
        <is>
          <t>SÖDERMANLANDS LÄN</t>
        </is>
      </c>
      <c r="E214" t="inlineStr">
        <is>
          <t>NYKÖPING</t>
        </is>
      </c>
      <c r="G214" t="n">
        <v>14.7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30025-2019</t>
        </is>
      </c>
      <c r="B215" s="1" t="n">
        <v>43630</v>
      </c>
      <c r="C215" s="1" t="n">
        <v>45189</v>
      </c>
      <c r="D215" t="inlineStr">
        <is>
          <t>SÖDERMANLANDS LÄN</t>
        </is>
      </c>
      <c r="E215" t="inlineStr">
        <is>
          <t>NYKÖPING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30982-2019</t>
        </is>
      </c>
      <c r="B216" s="1" t="n">
        <v>43640</v>
      </c>
      <c r="C216" s="1" t="n">
        <v>45189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32804-2019</t>
        </is>
      </c>
      <c r="B217" s="1" t="n">
        <v>43643</v>
      </c>
      <c r="C217" s="1" t="n">
        <v>45189</v>
      </c>
      <c r="D217" t="inlineStr">
        <is>
          <t>SÖDERMANLANDS LÄN</t>
        </is>
      </c>
      <c r="E217" t="inlineStr">
        <is>
          <t>NYKÖPING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32926-2019</t>
        </is>
      </c>
      <c r="B218" s="1" t="n">
        <v>43643</v>
      </c>
      <c r="C218" s="1" t="n">
        <v>45189</v>
      </c>
      <c r="D218" t="inlineStr">
        <is>
          <t>SÖDERMANLANDS LÄN</t>
        </is>
      </c>
      <c r="E218" t="inlineStr">
        <is>
          <t>NYKÖPING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32931-2019</t>
        </is>
      </c>
      <c r="B219" s="1" t="n">
        <v>43643</v>
      </c>
      <c r="C219" s="1" t="n">
        <v>45189</v>
      </c>
      <c r="D219" t="inlineStr">
        <is>
          <t>SÖDERMANLANDS LÄN</t>
        </is>
      </c>
      <c r="E219" t="inlineStr">
        <is>
          <t>NYKÖPING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32353-2019</t>
        </is>
      </c>
      <c r="B220" s="1" t="n">
        <v>43644</v>
      </c>
      <c r="C220" s="1" t="n">
        <v>45189</v>
      </c>
      <c r="D220" t="inlineStr">
        <is>
          <t>SÖDERMANLANDS LÄN</t>
        </is>
      </c>
      <c r="E220" t="inlineStr">
        <is>
          <t>NYKÖPING</t>
        </is>
      </c>
      <c r="G220" t="n">
        <v>10.2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33315-2019</t>
        </is>
      </c>
      <c r="B221" s="1" t="n">
        <v>43650</v>
      </c>
      <c r="C221" s="1" t="n">
        <v>45189</v>
      </c>
      <c r="D221" t="inlineStr">
        <is>
          <t>SÖDERMANLANDS LÄN</t>
        </is>
      </c>
      <c r="E221" t="inlineStr">
        <is>
          <t>NYKÖPING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33364-2019</t>
        </is>
      </c>
      <c r="B222" s="1" t="n">
        <v>43650</v>
      </c>
      <c r="C222" s="1" t="n">
        <v>45189</v>
      </c>
      <c r="D222" t="inlineStr">
        <is>
          <t>SÖDERMANLANDS LÄN</t>
        </is>
      </c>
      <c r="E222" t="inlineStr">
        <is>
          <t>NYKÖPING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35468-2019</t>
        </is>
      </c>
      <c r="B223" s="1" t="n">
        <v>43651</v>
      </c>
      <c r="C223" s="1" t="n">
        <v>45189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Kommuner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33968-2019</t>
        </is>
      </c>
      <c r="B224" s="1" t="n">
        <v>43654</v>
      </c>
      <c r="C224" s="1" t="n">
        <v>45189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Kyrkan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34606-2019</t>
        </is>
      </c>
      <c r="B225" s="1" t="n">
        <v>43657</v>
      </c>
      <c r="C225" s="1" t="n">
        <v>45189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Kommuner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35145-2019</t>
        </is>
      </c>
      <c r="B226" s="1" t="n">
        <v>43661</v>
      </c>
      <c r="C226" s="1" t="n">
        <v>45189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35155-2019</t>
        </is>
      </c>
      <c r="B227" s="1" t="n">
        <v>43661</v>
      </c>
      <c r="C227" s="1" t="n">
        <v>45189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35140-2019</t>
        </is>
      </c>
      <c r="B228" s="1" t="n">
        <v>43661</v>
      </c>
      <c r="C228" s="1" t="n">
        <v>45189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Övriga Aktiebolag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35590-2019</t>
        </is>
      </c>
      <c r="B229" s="1" t="n">
        <v>43664</v>
      </c>
      <c r="C229" s="1" t="n">
        <v>45189</v>
      </c>
      <c r="D229" t="inlineStr">
        <is>
          <t>SÖDERMANLANDS LÄN</t>
        </is>
      </c>
      <c r="E229" t="inlineStr">
        <is>
          <t>NYKÖPING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36582-2019</t>
        </is>
      </c>
      <c r="B230" s="1" t="n">
        <v>43669</v>
      </c>
      <c r="C230" s="1" t="n">
        <v>45189</v>
      </c>
      <c r="D230" t="inlineStr">
        <is>
          <t>SÖDERMANLANDS LÄN</t>
        </is>
      </c>
      <c r="E230" t="inlineStr">
        <is>
          <t>NYKÖPING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37344-2019</t>
        </is>
      </c>
      <c r="B231" s="1" t="n">
        <v>43678</v>
      </c>
      <c r="C231" s="1" t="n">
        <v>45189</v>
      </c>
      <c r="D231" t="inlineStr">
        <is>
          <t>SÖDERMANLANDS LÄN</t>
        </is>
      </c>
      <c r="E231" t="inlineStr">
        <is>
          <t>NYKÖPING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37416-2019</t>
        </is>
      </c>
      <c r="B232" s="1" t="n">
        <v>43678</v>
      </c>
      <c r="C232" s="1" t="n">
        <v>45189</v>
      </c>
      <c r="D232" t="inlineStr">
        <is>
          <t>SÖDERMANLANDS LÄN</t>
        </is>
      </c>
      <c r="E232" t="inlineStr">
        <is>
          <t>NYKÖPING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37744-2019</t>
        </is>
      </c>
      <c r="B233" s="1" t="n">
        <v>43682</v>
      </c>
      <c r="C233" s="1" t="n">
        <v>45189</v>
      </c>
      <c r="D233" t="inlineStr">
        <is>
          <t>SÖDERMANLANDS LÄN</t>
        </is>
      </c>
      <c r="E233" t="inlineStr">
        <is>
          <t>NYKÖPING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37940-2019</t>
        </is>
      </c>
      <c r="B234" s="1" t="n">
        <v>43683</v>
      </c>
      <c r="C234" s="1" t="n">
        <v>45189</v>
      </c>
      <c r="D234" t="inlineStr">
        <is>
          <t>SÖDERMANLANDS LÄN</t>
        </is>
      </c>
      <c r="E234" t="inlineStr">
        <is>
          <t>NYKÖPING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38046-2019</t>
        </is>
      </c>
      <c r="B235" s="1" t="n">
        <v>43683</v>
      </c>
      <c r="C235" s="1" t="n">
        <v>45189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38736-2019</t>
        </is>
      </c>
      <c r="B236" s="1" t="n">
        <v>43686</v>
      </c>
      <c r="C236" s="1" t="n">
        <v>45189</v>
      </c>
      <c r="D236" t="inlineStr">
        <is>
          <t>SÖDERMANLANDS LÄN</t>
        </is>
      </c>
      <c r="E236" t="inlineStr">
        <is>
          <t>NYKÖPING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38593-2019</t>
        </is>
      </c>
      <c r="B237" s="1" t="n">
        <v>43686</v>
      </c>
      <c r="C237" s="1" t="n">
        <v>45189</v>
      </c>
      <c r="D237" t="inlineStr">
        <is>
          <t>SÖDERMANLANDS LÄN</t>
        </is>
      </c>
      <c r="E237" t="inlineStr">
        <is>
          <t>NYKÖPING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39166-2019</t>
        </is>
      </c>
      <c r="B238" s="1" t="n">
        <v>43690</v>
      </c>
      <c r="C238" s="1" t="n">
        <v>45189</v>
      </c>
      <c r="D238" t="inlineStr">
        <is>
          <t>SÖDERMANLANDS LÄN</t>
        </is>
      </c>
      <c r="E238" t="inlineStr">
        <is>
          <t>NYKÖPING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39247-2019</t>
        </is>
      </c>
      <c r="B239" s="1" t="n">
        <v>43690</v>
      </c>
      <c r="C239" s="1" t="n">
        <v>45189</v>
      </c>
      <c r="D239" t="inlineStr">
        <is>
          <t>SÖDERMANLANDS LÄN</t>
        </is>
      </c>
      <c r="E239" t="inlineStr">
        <is>
          <t>NYKÖPING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39335-2019</t>
        </is>
      </c>
      <c r="B240" s="1" t="n">
        <v>43690</v>
      </c>
      <c r="C240" s="1" t="n">
        <v>45189</v>
      </c>
      <c r="D240" t="inlineStr">
        <is>
          <t>SÖDERMANLANDS LÄN</t>
        </is>
      </c>
      <c r="E240" t="inlineStr">
        <is>
          <t>NYKÖPING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39228-2019</t>
        </is>
      </c>
      <c r="B241" s="1" t="n">
        <v>43690</v>
      </c>
      <c r="C241" s="1" t="n">
        <v>45189</v>
      </c>
      <c r="D241" t="inlineStr">
        <is>
          <t>SÖDERMANLANDS LÄN</t>
        </is>
      </c>
      <c r="E241" t="inlineStr">
        <is>
          <t>NYKÖPING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39245-2019</t>
        </is>
      </c>
      <c r="B242" s="1" t="n">
        <v>43690</v>
      </c>
      <c r="C242" s="1" t="n">
        <v>45189</v>
      </c>
      <c r="D242" t="inlineStr">
        <is>
          <t>SÖDERMANLANDS LÄN</t>
        </is>
      </c>
      <c r="E242" t="inlineStr">
        <is>
          <t>NYKÖPING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40620-2019</t>
        </is>
      </c>
      <c r="B243" s="1" t="n">
        <v>43691</v>
      </c>
      <c r="C243" s="1" t="n">
        <v>45189</v>
      </c>
      <c r="D243" t="inlineStr">
        <is>
          <t>SÖDERMANLANDS LÄN</t>
        </is>
      </c>
      <c r="E243" t="inlineStr">
        <is>
          <t>NYKÖPING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41149-2019</t>
        </is>
      </c>
      <c r="B244" s="1" t="n">
        <v>43698</v>
      </c>
      <c r="C244" s="1" t="n">
        <v>45189</v>
      </c>
      <c r="D244" t="inlineStr">
        <is>
          <t>SÖDERMANLANDS LÄN</t>
        </is>
      </c>
      <c r="E244" t="inlineStr">
        <is>
          <t>NYKÖPING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41167-2019</t>
        </is>
      </c>
      <c r="B245" s="1" t="n">
        <v>43698</v>
      </c>
      <c r="C245" s="1" t="n">
        <v>45189</v>
      </c>
      <c r="D245" t="inlineStr">
        <is>
          <t>SÖDERMANLANDS LÄN</t>
        </is>
      </c>
      <c r="E245" t="inlineStr">
        <is>
          <t>NYKÖPING</t>
        </is>
      </c>
      <c r="G245" t="n">
        <v>6.7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41154-2019</t>
        </is>
      </c>
      <c r="B246" s="1" t="n">
        <v>43698</v>
      </c>
      <c r="C246" s="1" t="n">
        <v>45189</v>
      </c>
      <c r="D246" t="inlineStr">
        <is>
          <t>SÖDERMANLANDS LÄN</t>
        </is>
      </c>
      <c r="E246" t="inlineStr">
        <is>
          <t>NYKÖPING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41244-2019</t>
        </is>
      </c>
      <c r="B247" s="1" t="n">
        <v>43698</v>
      </c>
      <c r="C247" s="1" t="n">
        <v>45189</v>
      </c>
      <c r="D247" t="inlineStr">
        <is>
          <t>SÖDERMANLANDS LÄN</t>
        </is>
      </c>
      <c r="E247" t="inlineStr">
        <is>
          <t>NYKÖPING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42324-2019</t>
        </is>
      </c>
      <c r="B248" s="1" t="n">
        <v>43703</v>
      </c>
      <c r="C248" s="1" t="n">
        <v>45189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42336-2019</t>
        </is>
      </c>
      <c r="B249" s="1" t="n">
        <v>43703</v>
      </c>
      <c r="C249" s="1" t="n">
        <v>45189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42343-2019</t>
        </is>
      </c>
      <c r="B250" s="1" t="n">
        <v>43703</v>
      </c>
      <c r="C250" s="1" t="n">
        <v>45189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42234-2019</t>
        </is>
      </c>
      <c r="B251" s="1" t="n">
        <v>43703</v>
      </c>
      <c r="C251" s="1" t="n">
        <v>45189</v>
      </c>
      <c r="D251" t="inlineStr">
        <is>
          <t>SÖDERMANLANDS LÄN</t>
        </is>
      </c>
      <c r="E251" t="inlineStr">
        <is>
          <t>NYKÖPING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42328-2019</t>
        </is>
      </c>
      <c r="B252" s="1" t="n">
        <v>43703</v>
      </c>
      <c r="C252" s="1" t="n">
        <v>45189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42338-2019</t>
        </is>
      </c>
      <c r="B253" s="1" t="n">
        <v>43703</v>
      </c>
      <c r="C253" s="1" t="n">
        <v>45189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42488-2019</t>
        </is>
      </c>
      <c r="B254" s="1" t="n">
        <v>43704</v>
      </c>
      <c r="C254" s="1" t="n">
        <v>45189</v>
      </c>
      <c r="D254" t="inlineStr">
        <is>
          <t>SÖDERMANLANDS LÄN</t>
        </is>
      </c>
      <c r="E254" t="inlineStr">
        <is>
          <t>NYKÖPING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42496-2019</t>
        </is>
      </c>
      <c r="B255" s="1" t="n">
        <v>43704</v>
      </c>
      <c r="C255" s="1" t="n">
        <v>45189</v>
      </c>
      <c r="D255" t="inlineStr">
        <is>
          <t>SÖDERMANLANDS LÄN</t>
        </is>
      </c>
      <c r="E255" t="inlineStr">
        <is>
          <t>NYKÖPING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42491-2019</t>
        </is>
      </c>
      <c r="B256" s="1" t="n">
        <v>43704</v>
      </c>
      <c r="C256" s="1" t="n">
        <v>45189</v>
      </c>
      <c r="D256" t="inlineStr">
        <is>
          <t>SÖDERMANLANDS LÄN</t>
        </is>
      </c>
      <c r="E256" t="inlineStr">
        <is>
          <t>NYKÖPING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43063-2019</t>
        </is>
      </c>
      <c r="B257" s="1" t="n">
        <v>43705</v>
      </c>
      <c r="C257" s="1" t="n">
        <v>45189</v>
      </c>
      <c r="D257" t="inlineStr">
        <is>
          <t>SÖDERMANLANDS LÄN</t>
        </is>
      </c>
      <c r="E257" t="inlineStr">
        <is>
          <t>NYKÖPING</t>
        </is>
      </c>
      <c r="G257" t="n">
        <v>5.7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44309-2019</t>
        </is>
      </c>
      <c r="B258" s="1" t="n">
        <v>43710</v>
      </c>
      <c r="C258" s="1" t="n">
        <v>45189</v>
      </c>
      <c r="D258" t="inlineStr">
        <is>
          <t>SÖDERMANLANDS LÄN</t>
        </is>
      </c>
      <c r="E258" t="inlineStr">
        <is>
          <t>NYKÖPING</t>
        </is>
      </c>
      <c r="G258" t="n">
        <v>16.3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46504-2019</t>
        </is>
      </c>
      <c r="B259" s="1" t="n">
        <v>43717</v>
      </c>
      <c r="C259" s="1" t="n">
        <v>45189</v>
      </c>
      <c r="D259" t="inlineStr">
        <is>
          <t>SÖDERMANLANDS LÄN</t>
        </is>
      </c>
      <c r="E259" t="inlineStr">
        <is>
          <t>NYKÖPING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46078-2019</t>
        </is>
      </c>
      <c r="B260" s="1" t="n">
        <v>43718</v>
      </c>
      <c r="C260" s="1" t="n">
        <v>45189</v>
      </c>
      <c r="D260" t="inlineStr">
        <is>
          <t>SÖDERMANLANDS LÄN</t>
        </is>
      </c>
      <c r="E260" t="inlineStr">
        <is>
          <t>NYKÖPING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47034-2019</t>
        </is>
      </c>
      <c r="B261" s="1" t="n">
        <v>43720</v>
      </c>
      <c r="C261" s="1" t="n">
        <v>45189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47122-2019</t>
        </is>
      </c>
      <c r="B262" s="1" t="n">
        <v>43721</v>
      </c>
      <c r="C262" s="1" t="n">
        <v>45189</v>
      </c>
      <c r="D262" t="inlineStr">
        <is>
          <t>SÖDERMANLANDS LÄN</t>
        </is>
      </c>
      <c r="E262" t="inlineStr">
        <is>
          <t>NYKÖPING</t>
        </is>
      </c>
      <c r="F262" t="inlineStr">
        <is>
          <t>Övriga Aktiebolag</t>
        </is>
      </c>
      <c r="G262" t="n">
        <v>8.5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47127-2019</t>
        </is>
      </c>
      <c r="B263" s="1" t="n">
        <v>43721</v>
      </c>
      <c r="C263" s="1" t="n">
        <v>45189</v>
      </c>
      <c r="D263" t="inlineStr">
        <is>
          <t>SÖDERMANLANDS LÄN</t>
        </is>
      </c>
      <c r="E263" t="inlineStr">
        <is>
          <t>NYKÖPING</t>
        </is>
      </c>
      <c r="G263" t="n">
        <v>49.7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47128-2019</t>
        </is>
      </c>
      <c r="B264" s="1" t="n">
        <v>43721</v>
      </c>
      <c r="C264" s="1" t="n">
        <v>45189</v>
      </c>
      <c r="D264" t="inlineStr">
        <is>
          <t>SÖDERMANLANDS LÄN</t>
        </is>
      </c>
      <c r="E264" t="inlineStr">
        <is>
          <t>NYKÖPING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47431-2019</t>
        </is>
      </c>
      <c r="B265" s="1" t="n">
        <v>43723</v>
      </c>
      <c r="C265" s="1" t="n">
        <v>45189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48452-2019</t>
        </is>
      </c>
      <c r="B266" s="1" t="n">
        <v>43727</v>
      </c>
      <c r="C266" s="1" t="n">
        <v>45189</v>
      </c>
      <c r="D266" t="inlineStr">
        <is>
          <t>SÖDERMANLANDS LÄN</t>
        </is>
      </c>
      <c r="E266" t="inlineStr">
        <is>
          <t>NYKÖPING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48726-2019</t>
        </is>
      </c>
      <c r="B267" s="1" t="n">
        <v>43728</v>
      </c>
      <c r="C267" s="1" t="n">
        <v>45189</v>
      </c>
      <c r="D267" t="inlineStr">
        <is>
          <t>SÖDERMANLANDS LÄN</t>
        </is>
      </c>
      <c r="E267" t="inlineStr">
        <is>
          <t>NYKÖPING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48848-2019</t>
        </is>
      </c>
      <c r="B268" s="1" t="n">
        <v>43728</v>
      </c>
      <c r="C268" s="1" t="n">
        <v>45189</v>
      </c>
      <c r="D268" t="inlineStr">
        <is>
          <t>SÖDERMANLANDS LÄN</t>
        </is>
      </c>
      <c r="E268" t="inlineStr">
        <is>
          <t>NYKÖPING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50046-2019</t>
        </is>
      </c>
      <c r="B269" s="1" t="n">
        <v>43733</v>
      </c>
      <c r="C269" s="1" t="n">
        <v>45189</v>
      </c>
      <c r="D269" t="inlineStr">
        <is>
          <t>SÖDERMANLANDS LÄN</t>
        </is>
      </c>
      <c r="E269" t="inlineStr">
        <is>
          <t>NYKÖPING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50149-2019</t>
        </is>
      </c>
      <c r="B270" s="1" t="n">
        <v>43734</v>
      </c>
      <c r="C270" s="1" t="n">
        <v>45189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Holmen skog AB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50869-2019</t>
        </is>
      </c>
      <c r="B271" s="1" t="n">
        <v>43738</v>
      </c>
      <c r="C271" s="1" t="n">
        <v>45189</v>
      </c>
      <c r="D271" t="inlineStr">
        <is>
          <t>SÖDERMANLANDS LÄN</t>
        </is>
      </c>
      <c r="E271" t="inlineStr">
        <is>
          <t>NYKÖPING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51298-2019</t>
        </is>
      </c>
      <c r="B272" s="1" t="n">
        <v>43739</v>
      </c>
      <c r="C272" s="1" t="n">
        <v>45189</v>
      </c>
      <c r="D272" t="inlineStr">
        <is>
          <t>SÖDERMANLANDS LÄN</t>
        </is>
      </c>
      <c r="E272" t="inlineStr">
        <is>
          <t>NYKÖPING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51296-2019</t>
        </is>
      </c>
      <c r="B273" s="1" t="n">
        <v>43739</v>
      </c>
      <c r="C273" s="1" t="n">
        <v>45189</v>
      </c>
      <c r="D273" t="inlineStr">
        <is>
          <t>SÖDERMANLANDS LÄN</t>
        </is>
      </c>
      <c r="E273" t="inlineStr">
        <is>
          <t>NYKÖPING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52676-2019</t>
        </is>
      </c>
      <c r="B274" s="1" t="n">
        <v>43746</v>
      </c>
      <c r="C274" s="1" t="n">
        <v>45189</v>
      </c>
      <c r="D274" t="inlineStr">
        <is>
          <t>SÖDERMANLANDS LÄN</t>
        </is>
      </c>
      <c r="E274" t="inlineStr">
        <is>
          <t>NYKÖPING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53786-2019</t>
        </is>
      </c>
      <c r="B275" s="1" t="n">
        <v>43751</v>
      </c>
      <c r="C275" s="1" t="n">
        <v>45189</v>
      </c>
      <c r="D275" t="inlineStr">
        <is>
          <t>SÖDERMANLANDS LÄN</t>
        </is>
      </c>
      <c r="E275" t="inlineStr">
        <is>
          <t>NYKÖPING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54208-2019</t>
        </is>
      </c>
      <c r="B276" s="1" t="n">
        <v>43753</v>
      </c>
      <c r="C276" s="1" t="n">
        <v>45189</v>
      </c>
      <c r="D276" t="inlineStr">
        <is>
          <t>SÖDERMANLANDS LÄN</t>
        </is>
      </c>
      <c r="E276" t="inlineStr">
        <is>
          <t>NYKÖPING</t>
        </is>
      </c>
      <c r="F276" t="inlineStr">
        <is>
          <t>Sveaskog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54244-2019</t>
        </is>
      </c>
      <c r="B277" s="1" t="n">
        <v>43753</v>
      </c>
      <c r="C277" s="1" t="n">
        <v>45189</v>
      </c>
      <c r="D277" t="inlineStr">
        <is>
          <t>SÖDERMANLANDS LÄN</t>
        </is>
      </c>
      <c r="E277" t="inlineStr">
        <is>
          <t>NYKÖPING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56842-2019</t>
        </is>
      </c>
      <c r="B278" s="1" t="n">
        <v>43765</v>
      </c>
      <c r="C278" s="1" t="n">
        <v>45189</v>
      </c>
      <c r="D278" t="inlineStr">
        <is>
          <t>SÖDERMANLANDS LÄN</t>
        </is>
      </c>
      <c r="E278" t="inlineStr">
        <is>
          <t>NYKÖPING</t>
        </is>
      </c>
      <c r="G278" t="n">
        <v>10.8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56843-2019</t>
        </is>
      </c>
      <c r="B279" s="1" t="n">
        <v>43765</v>
      </c>
      <c r="C279" s="1" t="n">
        <v>45189</v>
      </c>
      <c r="D279" t="inlineStr">
        <is>
          <t>SÖDERMANLANDS LÄN</t>
        </is>
      </c>
      <c r="E279" t="inlineStr">
        <is>
          <t>NYKÖPING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58108-2019</t>
        </is>
      </c>
      <c r="B280" s="1" t="n">
        <v>43766</v>
      </c>
      <c r="C280" s="1" t="n">
        <v>45189</v>
      </c>
      <c r="D280" t="inlineStr">
        <is>
          <t>SÖDERMANLANDS LÄN</t>
        </is>
      </c>
      <c r="E280" t="inlineStr">
        <is>
          <t>NYKÖPING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58109-2019</t>
        </is>
      </c>
      <c r="B281" s="1" t="n">
        <v>43766</v>
      </c>
      <c r="C281" s="1" t="n">
        <v>45189</v>
      </c>
      <c r="D281" t="inlineStr">
        <is>
          <t>SÖDERMANLANDS LÄN</t>
        </is>
      </c>
      <c r="E281" t="inlineStr">
        <is>
          <t>NYKÖPING</t>
        </is>
      </c>
      <c r="G281" t="n">
        <v>6.9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57407-2019</t>
        </is>
      </c>
      <c r="B282" s="1" t="n">
        <v>43767</v>
      </c>
      <c r="C282" s="1" t="n">
        <v>45189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61821-2019</t>
        </is>
      </c>
      <c r="B283" s="1" t="n">
        <v>43786</v>
      </c>
      <c r="C283" s="1" t="n">
        <v>45189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61822-2019</t>
        </is>
      </c>
      <c r="B284" s="1" t="n">
        <v>43786</v>
      </c>
      <c r="C284" s="1" t="n">
        <v>45189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61843-2019</t>
        </is>
      </c>
      <c r="B285" s="1" t="n">
        <v>43786</v>
      </c>
      <c r="C285" s="1" t="n">
        <v>45189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Övriga Aktiebolag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61876-2019</t>
        </is>
      </c>
      <c r="B286" s="1" t="n">
        <v>43787</v>
      </c>
      <c r="C286" s="1" t="n">
        <v>45189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62324-2019</t>
        </is>
      </c>
      <c r="B287" s="1" t="n">
        <v>43788</v>
      </c>
      <c r="C287" s="1" t="n">
        <v>45189</v>
      </c>
      <c r="D287" t="inlineStr">
        <is>
          <t>SÖDERMANLANDS LÄN</t>
        </is>
      </c>
      <c r="E287" t="inlineStr">
        <is>
          <t>NYKÖPING</t>
        </is>
      </c>
      <c r="G287" t="n">
        <v>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62272-2019</t>
        </is>
      </c>
      <c r="B288" s="1" t="n">
        <v>43788</v>
      </c>
      <c r="C288" s="1" t="n">
        <v>45189</v>
      </c>
      <c r="D288" t="inlineStr">
        <is>
          <t>SÖDERMANLANDS LÄN</t>
        </is>
      </c>
      <c r="E288" t="inlineStr">
        <is>
          <t>NYKÖPING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63822-2019</t>
        </is>
      </c>
      <c r="B289" s="1" t="n">
        <v>43795</v>
      </c>
      <c r="C289" s="1" t="n">
        <v>45189</v>
      </c>
      <c r="D289" t="inlineStr">
        <is>
          <t>SÖDERMANLANDS LÄN</t>
        </is>
      </c>
      <c r="E289" t="inlineStr">
        <is>
          <t>NYKÖPING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64594-2019</t>
        </is>
      </c>
      <c r="B290" s="1" t="n">
        <v>43798</v>
      </c>
      <c r="C290" s="1" t="n">
        <v>45189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Kommuner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64737-2019</t>
        </is>
      </c>
      <c r="B291" s="1" t="n">
        <v>43800</v>
      </c>
      <c r="C291" s="1" t="n">
        <v>45189</v>
      </c>
      <c r="D291" t="inlineStr">
        <is>
          <t>SÖDERMANLANDS LÄN</t>
        </is>
      </c>
      <c r="E291" t="inlineStr">
        <is>
          <t>NYKÖPING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64977-2019</t>
        </is>
      </c>
      <c r="B292" s="1" t="n">
        <v>43801</v>
      </c>
      <c r="C292" s="1" t="n">
        <v>45189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Sveaskog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65773-2019</t>
        </is>
      </c>
      <c r="B293" s="1" t="n">
        <v>43804</v>
      </c>
      <c r="C293" s="1" t="n">
        <v>45189</v>
      </c>
      <c r="D293" t="inlineStr">
        <is>
          <t>SÖDERMANLANDS LÄN</t>
        </is>
      </c>
      <c r="E293" t="inlineStr">
        <is>
          <t>NYKÖPING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65588-2019</t>
        </is>
      </c>
      <c r="B294" s="1" t="n">
        <v>43804</v>
      </c>
      <c r="C294" s="1" t="n">
        <v>45189</v>
      </c>
      <c r="D294" t="inlineStr">
        <is>
          <t>SÖDERMANLANDS LÄN</t>
        </is>
      </c>
      <c r="E294" t="inlineStr">
        <is>
          <t>NYKÖPING</t>
        </is>
      </c>
      <c r="F294" t="inlineStr">
        <is>
          <t>Holmen skog AB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65978-2019</t>
        </is>
      </c>
      <c r="B295" s="1" t="n">
        <v>43805</v>
      </c>
      <c r="C295" s="1" t="n">
        <v>45189</v>
      </c>
      <c r="D295" t="inlineStr">
        <is>
          <t>SÖDERMANLANDS LÄN</t>
        </is>
      </c>
      <c r="E295" t="inlineStr">
        <is>
          <t>NYKÖPING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65952-2019</t>
        </is>
      </c>
      <c r="B296" s="1" t="n">
        <v>43805</v>
      </c>
      <c r="C296" s="1" t="n">
        <v>45189</v>
      </c>
      <c r="D296" t="inlineStr">
        <is>
          <t>SÖDERMANLANDS LÄN</t>
        </is>
      </c>
      <c r="E296" t="inlineStr">
        <is>
          <t>NYKÖPING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66226-2019</t>
        </is>
      </c>
      <c r="B297" s="1" t="n">
        <v>43808</v>
      </c>
      <c r="C297" s="1" t="n">
        <v>45189</v>
      </c>
      <c r="D297" t="inlineStr">
        <is>
          <t>SÖDERMANLANDS LÄN</t>
        </is>
      </c>
      <c r="E297" t="inlineStr">
        <is>
          <t>NYKÖPING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66636-2019</t>
        </is>
      </c>
      <c r="B298" s="1" t="n">
        <v>43809</v>
      </c>
      <c r="C298" s="1" t="n">
        <v>45189</v>
      </c>
      <c r="D298" t="inlineStr">
        <is>
          <t>SÖDERMANLANDS LÄN</t>
        </is>
      </c>
      <c r="E298" t="inlineStr">
        <is>
          <t>NYKÖPING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66587-2019</t>
        </is>
      </c>
      <c r="B299" s="1" t="n">
        <v>43809</v>
      </c>
      <c r="C299" s="1" t="n">
        <v>45189</v>
      </c>
      <c r="D299" t="inlineStr">
        <is>
          <t>SÖDERMANLANDS LÄN</t>
        </is>
      </c>
      <c r="E299" t="inlineStr">
        <is>
          <t>NYKÖPING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66686-2019</t>
        </is>
      </c>
      <c r="B300" s="1" t="n">
        <v>43809</v>
      </c>
      <c r="C300" s="1" t="n">
        <v>45189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7.7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66676-2019</t>
        </is>
      </c>
      <c r="B301" s="1" t="n">
        <v>43809</v>
      </c>
      <c r="C301" s="1" t="n">
        <v>45189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66790-2019</t>
        </is>
      </c>
      <c r="B302" s="1" t="n">
        <v>43810</v>
      </c>
      <c r="C302" s="1" t="n">
        <v>45189</v>
      </c>
      <c r="D302" t="inlineStr">
        <is>
          <t>SÖDERMANLANDS LÄN</t>
        </is>
      </c>
      <c r="E302" t="inlineStr">
        <is>
          <t>NYKÖPING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67393-2019</t>
        </is>
      </c>
      <c r="B303" s="1" t="n">
        <v>43811</v>
      </c>
      <c r="C303" s="1" t="n">
        <v>45189</v>
      </c>
      <c r="D303" t="inlineStr">
        <is>
          <t>SÖDERMANLANDS LÄN</t>
        </is>
      </c>
      <c r="E303" t="inlineStr">
        <is>
          <t>NYKÖPING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67405-2019</t>
        </is>
      </c>
      <c r="B304" s="1" t="n">
        <v>43811</v>
      </c>
      <c r="C304" s="1" t="n">
        <v>45189</v>
      </c>
      <c r="D304" t="inlineStr">
        <is>
          <t>SÖDERMANLANDS LÄN</t>
        </is>
      </c>
      <c r="E304" t="inlineStr">
        <is>
          <t>NYKÖPING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859-2020</t>
        </is>
      </c>
      <c r="B305" s="1" t="n">
        <v>43818</v>
      </c>
      <c r="C305" s="1" t="n">
        <v>45189</v>
      </c>
      <c r="D305" t="inlineStr">
        <is>
          <t>SÖDERMANLANDS LÄN</t>
        </is>
      </c>
      <c r="E305" t="inlineStr">
        <is>
          <t>NYKÖPING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68651-2019</t>
        </is>
      </c>
      <c r="B306" s="1" t="n">
        <v>43819</v>
      </c>
      <c r="C306" s="1" t="n">
        <v>45189</v>
      </c>
      <c r="D306" t="inlineStr">
        <is>
          <t>SÖDERMANLANDS LÄN</t>
        </is>
      </c>
      <c r="E306" t="inlineStr">
        <is>
          <t>NYKÖPING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520-2020</t>
        </is>
      </c>
      <c r="B307" s="1" t="n">
        <v>43837</v>
      </c>
      <c r="C307" s="1" t="n">
        <v>45189</v>
      </c>
      <c r="D307" t="inlineStr">
        <is>
          <t>SÖDERMANLANDS LÄN</t>
        </is>
      </c>
      <c r="E307" t="inlineStr">
        <is>
          <t>NYKÖPING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613-2020</t>
        </is>
      </c>
      <c r="B308" s="1" t="n">
        <v>43838</v>
      </c>
      <c r="C308" s="1" t="n">
        <v>45189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2048-2020</t>
        </is>
      </c>
      <c r="B309" s="1" t="n">
        <v>43839</v>
      </c>
      <c r="C309" s="1" t="n">
        <v>45189</v>
      </c>
      <c r="D309" t="inlineStr">
        <is>
          <t>SÖDERMANLANDS LÄN</t>
        </is>
      </c>
      <c r="E309" t="inlineStr">
        <is>
          <t>NYKÖPING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981-2020</t>
        </is>
      </c>
      <c r="B310" s="1" t="n">
        <v>43839</v>
      </c>
      <c r="C310" s="1" t="n">
        <v>45189</v>
      </c>
      <c r="D310" t="inlineStr">
        <is>
          <t>SÖDERMANLANDS LÄN</t>
        </is>
      </c>
      <c r="E310" t="inlineStr">
        <is>
          <t>NYKÖPING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1879-2020</t>
        </is>
      </c>
      <c r="B311" s="1" t="n">
        <v>43845</v>
      </c>
      <c r="C311" s="1" t="n">
        <v>45189</v>
      </c>
      <c r="D311" t="inlineStr">
        <is>
          <t>SÖDERMANLANDS LÄN</t>
        </is>
      </c>
      <c r="E311" t="inlineStr">
        <is>
          <t>NYKÖPING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3987-2020</t>
        </is>
      </c>
      <c r="B312" s="1" t="n">
        <v>43855</v>
      </c>
      <c r="C312" s="1" t="n">
        <v>45189</v>
      </c>
      <c r="D312" t="inlineStr">
        <is>
          <t>SÖDERMANLANDS LÄN</t>
        </is>
      </c>
      <c r="E312" t="inlineStr">
        <is>
          <t>NYKÖPING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4187-2020</t>
        </is>
      </c>
      <c r="B313" s="1" t="n">
        <v>43857</v>
      </c>
      <c r="C313" s="1" t="n">
        <v>45189</v>
      </c>
      <c r="D313" t="inlineStr">
        <is>
          <t>SÖDERMANLANDS LÄN</t>
        </is>
      </c>
      <c r="E313" t="inlineStr">
        <is>
          <t>NYKÖPING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5299-2020</t>
        </is>
      </c>
      <c r="B314" s="1" t="n">
        <v>43860</v>
      </c>
      <c r="C314" s="1" t="n">
        <v>45189</v>
      </c>
      <c r="D314" t="inlineStr">
        <is>
          <t>SÖDERMANLANDS LÄN</t>
        </is>
      </c>
      <c r="E314" t="inlineStr">
        <is>
          <t>NYKÖPING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5816-2020</t>
        </is>
      </c>
      <c r="B315" s="1" t="n">
        <v>43864</v>
      </c>
      <c r="C315" s="1" t="n">
        <v>45189</v>
      </c>
      <c r="D315" t="inlineStr">
        <is>
          <t>SÖDERMANLANDS LÄN</t>
        </is>
      </c>
      <c r="E315" t="inlineStr">
        <is>
          <t>NYKÖPING</t>
        </is>
      </c>
      <c r="G315" t="n">
        <v>11.8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5819-2020</t>
        </is>
      </c>
      <c r="B316" s="1" t="n">
        <v>43864</v>
      </c>
      <c r="C316" s="1" t="n">
        <v>45189</v>
      </c>
      <c r="D316" t="inlineStr">
        <is>
          <t>SÖDERMANLANDS LÄN</t>
        </is>
      </c>
      <c r="E316" t="inlineStr">
        <is>
          <t>NYKÖPING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6773-2020</t>
        </is>
      </c>
      <c r="B317" s="1" t="n">
        <v>43867</v>
      </c>
      <c r="C317" s="1" t="n">
        <v>45189</v>
      </c>
      <c r="D317" t="inlineStr">
        <is>
          <t>SÖDERMANLANDS LÄN</t>
        </is>
      </c>
      <c r="E317" t="inlineStr">
        <is>
          <t>NYKÖPING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7050-2020</t>
        </is>
      </c>
      <c r="B318" s="1" t="n">
        <v>43868</v>
      </c>
      <c r="C318" s="1" t="n">
        <v>45189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7057-2020</t>
        </is>
      </c>
      <c r="B319" s="1" t="n">
        <v>43868</v>
      </c>
      <c r="C319" s="1" t="n">
        <v>45189</v>
      </c>
      <c r="D319" t="inlineStr">
        <is>
          <t>SÖDERMANLANDS LÄN</t>
        </is>
      </c>
      <c r="E319" t="inlineStr">
        <is>
          <t>NYKÖPING</t>
        </is>
      </c>
      <c r="F319" t="inlineStr">
        <is>
          <t>Holmen skog AB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7932-2020</t>
        </is>
      </c>
      <c r="B320" s="1" t="n">
        <v>43873</v>
      </c>
      <c r="C320" s="1" t="n">
        <v>45189</v>
      </c>
      <c r="D320" t="inlineStr">
        <is>
          <t>SÖDERMANLANDS LÄN</t>
        </is>
      </c>
      <c r="E320" t="inlineStr">
        <is>
          <t>NYKÖPING</t>
        </is>
      </c>
      <c r="G320" t="n">
        <v>13.5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8169-2020</t>
        </is>
      </c>
      <c r="B321" s="1" t="n">
        <v>43874</v>
      </c>
      <c r="C321" s="1" t="n">
        <v>45189</v>
      </c>
      <c r="D321" t="inlineStr">
        <is>
          <t>SÖDERMANLANDS LÄN</t>
        </is>
      </c>
      <c r="E321" t="inlineStr">
        <is>
          <t>NYKÖPING</t>
        </is>
      </c>
      <c r="G321" t="n">
        <v>18.5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8239-2020</t>
        </is>
      </c>
      <c r="B322" s="1" t="n">
        <v>43874</v>
      </c>
      <c r="C322" s="1" t="n">
        <v>45189</v>
      </c>
      <c r="D322" t="inlineStr">
        <is>
          <t>SÖDERMANLANDS LÄN</t>
        </is>
      </c>
      <c r="E322" t="inlineStr">
        <is>
          <t>NYKÖPING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9217-2020</t>
        </is>
      </c>
      <c r="B323" s="1" t="n">
        <v>43879</v>
      </c>
      <c r="C323" s="1" t="n">
        <v>45189</v>
      </c>
      <c r="D323" t="inlineStr">
        <is>
          <t>SÖDERMANLANDS LÄN</t>
        </is>
      </c>
      <c r="E323" t="inlineStr">
        <is>
          <t>NYKÖPING</t>
        </is>
      </c>
      <c r="F323" t="inlineStr">
        <is>
          <t>Kommuner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9252-2020</t>
        </is>
      </c>
      <c r="B324" s="1" t="n">
        <v>43879</v>
      </c>
      <c r="C324" s="1" t="n">
        <v>45189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9251-2020</t>
        </is>
      </c>
      <c r="B325" s="1" t="n">
        <v>43879</v>
      </c>
      <c r="C325" s="1" t="n">
        <v>45189</v>
      </c>
      <c r="D325" t="inlineStr">
        <is>
          <t>SÖDERMANLANDS LÄN</t>
        </is>
      </c>
      <c r="E325" t="inlineStr">
        <is>
          <t>NYKÖPING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9247-2020</t>
        </is>
      </c>
      <c r="B326" s="1" t="n">
        <v>43879</v>
      </c>
      <c r="C326" s="1" t="n">
        <v>45189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9253-2020</t>
        </is>
      </c>
      <c r="B327" s="1" t="n">
        <v>43879</v>
      </c>
      <c r="C327" s="1" t="n">
        <v>45189</v>
      </c>
      <c r="D327" t="inlineStr">
        <is>
          <t>SÖDERMANLANDS LÄN</t>
        </is>
      </c>
      <c r="E327" t="inlineStr">
        <is>
          <t>NYKÖPING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11314-2020</t>
        </is>
      </c>
      <c r="B328" s="1" t="n">
        <v>43892</v>
      </c>
      <c r="C328" s="1" t="n">
        <v>45189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11316-2020</t>
        </is>
      </c>
      <c r="B329" s="1" t="n">
        <v>43892</v>
      </c>
      <c r="C329" s="1" t="n">
        <v>45189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Holmen skog AB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13053-2020</t>
        </is>
      </c>
      <c r="B330" s="1" t="n">
        <v>43900</v>
      </c>
      <c r="C330" s="1" t="n">
        <v>45189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13058-2020</t>
        </is>
      </c>
      <c r="B331" s="1" t="n">
        <v>43900</v>
      </c>
      <c r="C331" s="1" t="n">
        <v>45189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Övriga Aktiebolag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13118-2020</t>
        </is>
      </c>
      <c r="B332" s="1" t="n">
        <v>43901</v>
      </c>
      <c r="C332" s="1" t="n">
        <v>45189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13344-2020</t>
        </is>
      </c>
      <c r="B333" s="1" t="n">
        <v>43902</v>
      </c>
      <c r="C333" s="1" t="n">
        <v>45189</v>
      </c>
      <c r="D333" t="inlineStr">
        <is>
          <t>SÖDERMANLANDS LÄN</t>
        </is>
      </c>
      <c r="E333" t="inlineStr">
        <is>
          <t>NYKÖPING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13778-2020</t>
        </is>
      </c>
      <c r="B334" s="1" t="n">
        <v>43903</v>
      </c>
      <c r="C334" s="1" t="n">
        <v>45189</v>
      </c>
      <c r="D334" t="inlineStr">
        <is>
          <t>SÖDERMANLANDS LÄN</t>
        </is>
      </c>
      <c r="E334" t="inlineStr">
        <is>
          <t>NYKÖPING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13874-2020</t>
        </is>
      </c>
      <c r="B335" s="1" t="n">
        <v>43906</v>
      </c>
      <c r="C335" s="1" t="n">
        <v>45189</v>
      </c>
      <c r="D335" t="inlineStr">
        <is>
          <t>SÖDERMANLANDS LÄN</t>
        </is>
      </c>
      <c r="E335" t="inlineStr">
        <is>
          <t>NYKÖPING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14241-2020</t>
        </is>
      </c>
      <c r="B336" s="1" t="n">
        <v>43907</v>
      </c>
      <c r="C336" s="1" t="n">
        <v>45189</v>
      </c>
      <c r="D336" t="inlineStr">
        <is>
          <t>SÖDERMANLANDS LÄN</t>
        </is>
      </c>
      <c r="E336" t="inlineStr">
        <is>
          <t>NYKÖPING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14313-2020</t>
        </is>
      </c>
      <c r="B337" s="1" t="n">
        <v>43907</v>
      </c>
      <c r="C337" s="1" t="n">
        <v>45189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Övriga Aktiebolag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14533-2020</t>
        </is>
      </c>
      <c r="B338" s="1" t="n">
        <v>43908</v>
      </c>
      <c r="C338" s="1" t="n">
        <v>45189</v>
      </c>
      <c r="D338" t="inlineStr">
        <is>
          <t>SÖDERMANLANDS LÄN</t>
        </is>
      </c>
      <c r="E338" t="inlineStr">
        <is>
          <t>NYKÖPING</t>
        </is>
      </c>
      <c r="G338" t="n">
        <v>21.2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14708-2020</t>
        </is>
      </c>
      <c r="B339" s="1" t="n">
        <v>43909</v>
      </c>
      <c r="C339" s="1" t="n">
        <v>45189</v>
      </c>
      <c r="D339" t="inlineStr">
        <is>
          <t>SÖDERMANLANDS LÄN</t>
        </is>
      </c>
      <c r="E339" t="inlineStr">
        <is>
          <t>NYKÖPING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15469-2020</t>
        </is>
      </c>
      <c r="B340" s="1" t="n">
        <v>43914</v>
      </c>
      <c r="C340" s="1" t="n">
        <v>45189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Holmen skog AB</t>
        </is>
      </c>
      <c r="G340" t="n">
        <v>4.6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16227-2020</t>
        </is>
      </c>
      <c r="B341" s="1" t="n">
        <v>43915</v>
      </c>
      <c r="C341" s="1" t="n">
        <v>45189</v>
      </c>
      <c r="D341" t="inlineStr">
        <is>
          <t>SÖDERMANLANDS LÄN</t>
        </is>
      </c>
      <c r="E341" t="inlineStr">
        <is>
          <t>NYKÖPING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16679-2020</t>
        </is>
      </c>
      <c r="B342" s="1" t="n">
        <v>43920</v>
      </c>
      <c r="C342" s="1" t="n">
        <v>45189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16741-2020</t>
        </is>
      </c>
      <c r="B343" s="1" t="n">
        <v>43920</v>
      </c>
      <c r="C343" s="1" t="n">
        <v>45189</v>
      </c>
      <c r="D343" t="inlineStr">
        <is>
          <t>SÖDERMANLANDS LÄN</t>
        </is>
      </c>
      <c r="E343" t="inlineStr">
        <is>
          <t>NYKÖPING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17805-2020</t>
        </is>
      </c>
      <c r="B344" s="1" t="n">
        <v>43924</v>
      </c>
      <c r="C344" s="1" t="n">
        <v>45189</v>
      </c>
      <c r="D344" t="inlineStr">
        <is>
          <t>SÖDERMANLANDS LÄN</t>
        </is>
      </c>
      <c r="E344" t="inlineStr">
        <is>
          <t>NYKÖPING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19862-2020</t>
        </is>
      </c>
      <c r="B345" s="1" t="n">
        <v>43942</v>
      </c>
      <c r="C345" s="1" t="n">
        <v>45189</v>
      </c>
      <c r="D345" t="inlineStr">
        <is>
          <t>SÖDERMANLANDS LÄN</t>
        </is>
      </c>
      <c r="E345" t="inlineStr">
        <is>
          <t>NYKÖPING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20015-2020</t>
        </is>
      </c>
      <c r="B346" s="1" t="n">
        <v>43942</v>
      </c>
      <c r="C346" s="1" t="n">
        <v>45189</v>
      </c>
      <c r="D346" t="inlineStr">
        <is>
          <t>SÖDERMANLANDS LÄN</t>
        </is>
      </c>
      <c r="E346" t="inlineStr">
        <is>
          <t>NYKÖPING</t>
        </is>
      </c>
      <c r="G346" t="n">
        <v>13.8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20004-2020</t>
        </is>
      </c>
      <c r="B347" s="1" t="n">
        <v>43943</v>
      </c>
      <c r="C347" s="1" t="n">
        <v>45189</v>
      </c>
      <c r="D347" t="inlineStr">
        <is>
          <t>SÖDERMANLANDS LÄN</t>
        </is>
      </c>
      <c r="E347" t="inlineStr">
        <is>
          <t>NYKÖPING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20114-2020</t>
        </is>
      </c>
      <c r="B348" s="1" t="n">
        <v>43943</v>
      </c>
      <c r="C348" s="1" t="n">
        <v>45189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20125-2020</t>
        </is>
      </c>
      <c r="B349" s="1" t="n">
        <v>43943</v>
      </c>
      <c r="C349" s="1" t="n">
        <v>45189</v>
      </c>
      <c r="D349" t="inlineStr">
        <is>
          <t>SÖDERMANLANDS LÄN</t>
        </is>
      </c>
      <c r="E349" t="inlineStr">
        <is>
          <t>NYKÖPING</t>
        </is>
      </c>
      <c r="F349" t="inlineStr">
        <is>
          <t>Allmännings- och besparingsskogar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20387-2020</t>
        </is>
      </c>
      <c r="B350" s="1" t="n">
        <v>43944</v>
      </c>
      <c r="C350" s="1" t="n">
        <v>45189</v>
      </c>
      <c r="D350" t="inlineStr">
        <is>
          <t>SÖDERMANLANDS LÄN</t>
        </is>
      </c>
      <c r="E350" t="inlineStr">
        <is>
          <t>NYKÖPING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20384-2020</t>
        </is>
      </c>
      <c r="B351" s="1" t="n">
        <v>43944</v>
      </c>
      <c r="C351" s="1" t="n">
        <v>45189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20145-2020</t>
        </is>
      </c>
      <c r="B352" s="1" t="n">
        <v>43944</v>
      </c>
      <c r="C352" s="1" t="n">
        <v>45189</v>
      </c>
      <c r="D352" t="inlineStr">
        <is>
          <t>SÖDERMANLANDS LÄN</t>
        </is>
      </c>
      <c r="E352" t="inlineStr">
        <is>
          <t>NYKÖPING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20226-2020</t>
        </is>
      </c>
      <c r="B353" s="1" t="n">
        <v>43944</v>
      </c>
      <c r="C353" s="1" t="n">
        <v>45189</v>
      </c>
      <c r="D353" t="inlineStr">
        <is>
          <t>SÖDERMANLANDS LÄN</t>
        </is>
      </c>
      <c r="E353" t="inlineStr">
        <is>
          <t>NYKÖPING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20396-2020</t>
        </is>
      </c>
      <c r="B354" s="1" t="n">
        <v>43944</v>
      </c>
      <c r="C354" s="1" t="n">
        <v>45189</v>
      </c>
      <c r="D354" t="inlineStr">
        <is>
          <t>SÖDERMANLANDS LÄN</t>
        </is>
      </c>
      <c r="E354" t="inlineStr">
        <is>
          <t>NYKÖPING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20699-2020</t>
        </is>
      </c>
      <c r="B355" s="1" t="n">
        <v>43949</v>
      </c>
      <c r="C355" s="1" t="n">
        <v>45189</v>
      </c>
      <c r="D355" t="inlineStr">
        <is>
          <t>SÖDERMANLANDS LÄN</t>
        </is>
      </c>
      <c r="E355" t="inlineStr">
        <is>
          <t>NYKÖPING</t>
        </is>
      </c>
      <c r="F355" t="inlineStr">
        <is>
          <t>Holmen skog AB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21004-2020</t>
        </is>
      </c>
      <c r="B356" s="1" t="n">
        <v>43950</v>
      </c>
      <c r="C356" s="1" t="n">
        <v>45189</v>
      </c>
      <c r="D356" t="inlineStr">
        <is>
          <t>SÖDERMANLANDS LÄN</t>
        </is>
      </c>
      <c r="E356" t="inlineStr">
        <is>
          <t>NYKÖPING</t>
        </is>
      </c>
      <c r="G356" t="n">
        <v>5.4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23578-2020</t>
        </is>
      </c>
      <c r="B357" s="1" t="n">
        <v>43969</v>
      </c>
      <c r="C357" s="1" t="n">
        <v>45189</v>
      </c>
      <c r="D357" t="inlineStr">
        <is>
          <t>SÖDERMANLANDS LÄN</t>
        </is>
      </c>
      <c r="E357" t="inlineStr">
        <is>
          <t>NYKÖPING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23709-2020</t>
        </is>
      </c>
      <c r="B358" s="1" t="n">
        <v>43969</v>
      </c>
      <c r="C358" s="1" t="n">
        <v>45189</v>
      </c>
      <c r="D358" t="inlineStr">
        <is>
          <t>SÖDERMANLANDS LÄN</t>
        </is>
      </c>
      <c r="E358" t="inlineStr">
        <is>
          <t>NYKÖPING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23607-2020</t>
        </is>
      </c>
      <c r="B359" s="1" t="n">
        <v>43969</v>
      </c>
      <c r="C359" s="1" t="n">
        <v>45189</v>
      </c>
      <c r="D359" t="inlineStr">
        <is>
          <t>SÖDERMANLANDS LÄN</t>
        </is>
      </c>
      <c r="E359" t="inlineStr">
        <is>
          <t>NYKÖPING</t>
        </is>
      </c>
      <c r="G359" t="n">
        <v>10.5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24226-2020</t>
        </is>
      </c>
      <c r="B360" s="1" t="n">
        <v>43973</v>
      </c>
      <c r="C360" s="1" t="n">
        <v>45189</v>
      </c>
      <c r="D360" t="inlineStr">
        <is>
          <t>SÖDERMANLANDS LÄN</t>
        </is>
      </c>
      <c r="E360" t="inlineStr">
        <is>
          <t>NYKÖPING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25517-2020</t>
        </is>
      </c>
      <c r="B361" s="1" t="n">
        <v>43980</v>
      </c>
      <c r="C361" s="1" t="n">
        <v>45189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6.3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25754-2020</t>
        </is>
      </c>
      <c r="B362" s="1" t="n">
        <v>43983</v>
      </c>
      <c r="C362" s="1" t="n">
        <v>45189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Kommuner</t>
        </is>
      </c>
      <c r="G362" t="n">
        <v>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26243-2020</t>
        </is>
      </c>
      <c r="B363" s="1" t="n">
        <v>43986</v>
      </c>
      <c r="C363" s="1" t="n">
        <v>45189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11.6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26245-2020</t>
        </is>
      </c>
      <c r="B364" s="1" t="n">
        <v>43986</v>
      </c>
      <c r="C364" s="1" t="n">
        <v>45189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Övriga Aktiebolag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26773-2020</t>
        </is>
      </c>
      <c r="B365" s="1" t="n">
        <v>43990</v>
      </c>
      <c r="C365" s="1" t="n">
        <v>45189</v>
      </c>
      <c r="D365" t="inlineStr">
        <is>
          <t>SÖDERMANLANDS LÄN</t>
        </is>
      </c>
      <c r="E365" t="inlineStr">
        <is>
          <t>NYKÖPING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27596-2020</t>
        </is>
      </c>
      <c r="B366" s="1" t="n">
        <v>43993</v>
      </c>
      <c r="C366" s="1" t="n">
        <v>45189</v>
      </c>
      <c r="D366" t="inlineStr">
        <is>
          <t>SÖDERMANLANDS LÄN</t>
        </is>
      </c>
      <c r="E366" t="inlineStr">
        <is>
          <t>NYKÖPING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27449-2020</t>
        </is>
      </c>
      <c r="B367" s="1" t="n">
        <v>43993</v>
      </c>
      <c r="C367" s="1" t="n">
        <v>45189</v>
      </c>
      <c r="D367" t="inlineStr">
        <is>
          <t>SÖDERMANLANDS LÄN</t>
        </is>
      </c>
      <c r="E367" t="inlineStr">
        <is>
          <t>NYKÖPING</t>
        </is>
      </c>
      <c r="F367" t="inlineStr">
        <is>
          <t>Övriga Aktiebolag</t>
        </is>
      </c>
      <c r="G367" t="n">
        <v>11.2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27599-2020</t>
        </is>
      </c>
      <c r="B368" s="1" t="n">
        <v>43993</v>
      </c>
      <c r="C368" s="1" t="n">
        <v>45189</v>
      </c>
      <c r="D368" t="inlineStr">
        <is>
          <t>SÖDERMANLANDS LÄN</t>
        </is>
      </c>
      <c r="E368" t="inlineStr">
        <is>
          <t>NYKÖPING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28079-2020</t>
        </is>
      </c>
      <c r="B369" s="1" t="n">
        <v>43997</v>
      </c>
      <c r="C369" s="1" t="n">
        <v>45189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28040-2020</t>
        </is>
      </c>
      <c r="B370" s="1" t="n">
        <v>43997</v>
      </c>
      <c r="C370" s="1" t="n">
        <v>45189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28034-2020</t>
        </is>
      </c>
      <c r="B371" s="1" t="n">
        <v>43997</v>
      </c>
      <c r="C371" s="1" t="n">
        <v>45189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Kommuner</t>
        </is>
      </c>
      <c r="G371" t="n">
        <v>9.1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28463-2020</t>
        </is>
      </c>
      <c r="B372" s="1" t="n">
        <v>43998</v>
      </c>
      <c r="C372" s="1" t="n">
        <v>45189</v>
      </c>
      <c r="D372" t="inlineStr">
        <is>
          <t>SÖDERMANLANDS LÄN</t>
        </is>
      </c>
      <c r="E372" t="inlineStr">
        <is>
          <t>NYKÖPING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28341-2020</t>
        </is>
      </c>
      <c r="B373" s="1" t="n">
        <v>43998</v>
      </c>
      <c r="C373" s="1" t="n">
        <v>45189</v>
      </c>
      <c r="D373" t="inlineStr">
        <is>
          <t>SÖDERMANLANDS LÄN</t>
        </is>
      </c>
      <c r="E373" t="inlineStr">
        <is>
          <t>NYKÖPING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28467-2020</t>
        </is>
      </c>
      <c r="B374" s="1" t="n">
        <v>43998</v>
      </c>
      <c r="C374" s="1" t="n">
        <v>45189</v>
      </c>
      <c r="D374" t="inlineStr">
        <is>
          <t>SÖDERMANLANDS LÄN</t>
        </is>
      </c>
      <c r="E374" t="inlineStr">
        <is>
          <t>NYKÖPING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28785-2020</t>
        </is>
      </c>
      <c r="B375" s="1" t="n">
        <v>44000</v>
      </c>
      <c r="C375" s="1" t="n">
        <v>45189</v>
      </c>
      <c r="D375" t="inlineStr">
        <is>
          <t>SÖDERMANLANDS LÄN</t>
        </is>
      </c>
      <c r="E375" t="inlineStr">
        <is>
          <t>NYKÖPING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29241-2020</t>
        </is>
      </c>
      <c r="B376" s="1" t="n">
        <v>44004</v>
      </c>
      <c r="C376" s="1" t="n">
        <v>45189</v>
      </c>
      <c r="D376" t="inlineStr">
        <is>
          <t>SÖDERMANLANDS LÄN</t>
        </is>
      </c>
      <c r="E376" t="inlineStr">
        <is>
          <t>NYKÖPING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29269-2020</t>
        </is>
      </c>
      <c r="B377" s="1" t="n">
        <v>44004</v>
      </c>
      <c r="C377" s="1" t="n">
        <v>45189</v>
      </c>
      <c r="D377" t="inlineStr">
        <is>
          <t>SÖDERMANLANDS LÄN</t>
        </is>
      </c>
      <c r="E377" t="inlineStr">
        <is>
          <t>NYKÖPING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29354-2020</t>
        </is>
      </c>
      <c r="B378" s="1" t="n">
        <v>44004</v>
      </c>
      <c r="C378" s="1" t="n">
        <v>45189</v>
      </c>
      <c r="D378" t="inlineStr">
        <is>
          <t>SÖDERMANLANDS LÄN</t>
        </is>
      </c>
      <c r="E378" t="inlineStr">
        <is>
          <t>NYKÖPING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29369-2020</t>
        </is>
      </c>
      <c r="B379" s="1" t="n">
        <v>44004</v>
      </c>
      <c r="C379" s="1" t="n">
        <v>45189</v>
      </c>
      <c r="D379" t="inlineStr">
        <is>
          <t>SÖDERMANLANDS LÄN</t>
        </is>
      </c>
      <c r="E379" t="inlineStr">
        <is>
          <t>NYKÖPING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29694-2020</t>
        </is>
      </c>
      <c r="B380" s="1" t="n">
        <v>44005</v>
      </c>
      <c r="C380" s="1" t="n">
        <v>45189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29714-2020</t>
        </is>
      </c>
      <c r="B381" s="1" t="n">
        <v>44005</v>
      </c>
      <c r="C381" s="1" t="n">
        <v>45189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29690-2020</t>
        </is>
      </c>
      <c r="B382" s="1" t="n">
        <v>44005</v>
      </c>
      <c r="C382" s="1" t="n">
        <v>45189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29701-2020</t>
        </is>
      </c>
      <c r="B383" s="1" t="n">
        <v>44005</v>
      </c>
      <c r="C383" s="1" t="n">
        <v>45189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30429-2020</t>
        </is>
      </c>
      <c r="B384" s="1" t="n">
        <v>44007</v>
      </c>
      <c r="C384" s="1" t="n">
        <v>45189</v>
      </c>
      <c r="D384" t="inlineStr">
        <is>
          <t>SÖDERMANLANDS LÄN</t>
        </is>
      </c>
      <c r="E384" t="inlineStr">
        <is>
          <t>NYKÖPING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30361-2020</t>
        </is>
      </c>
      <c r="B385" s="1" t="n">
        <v>44007</v>
      </c>
      <c r="C385" s="1" t="n">
        <v>45189</v>
      </c>
      <c r="D385" t="inlineStr">
        <is>
          <t>SÖDERMANLANDS LÄN</t>
        </is>
      </c>
      <c r="E385" t="inlineStr">
        <is>
          <t>NYKÖPING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30261-2020</t>
        </is>
      </c>
      <c r="B386" s="1" t="n">
        <v>44007</v>
      </c>
      <c r="C386" s="1" t="n">
        <v>45189</v>
      </c>
      <c r="D386" t="inlineStr">
        <is>
          <t>SÖDERMANLANDS LÄN</t>
        </is>
      </c>
      <c r="E386" t="inlineStr">
        <is>
          <t>NYKÖPING</t>
        </is>
      </c>
      <c r="G386" t="n">
        <v>5.5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30391-2020</t>
        </is>
      </c>
      <c r="B387" s="1" t="n">
        <v>44007</v>
      </c>
      <c r="C387" s="1" t="n">
        <v>45189</v>
      </c>
      <c r="D387" t="inlineStr">
        <is>
          <t>SÖDERMANLANDS LÄN</t>
        </is>
      </c>
      <c r="E387" t="inlineStr">
        <is>
          <t>NYKÖPING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30721-2020</t>
        </is>
      </c>
      <c r="B388" s="1" t="n">
        <v>44008</v>
      </c>
      <c r="C388" s="1" t="n">
        <v>45189</v>
      </c>
      <c r="D388" t="inlineStr">
        <is>
          <t>SÖDERMANLANDS LÄN</t>
        </is>
      </c>
      <c r="E388" t="inlineStr">
        <is>
          <t>NYKÖPING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31011-2020</t>
        </is>
      </c>
      <c r="B389" s="1" t="n">
        <v>44011</v>
      </c>
      <c r="C389" s="1" t="n">
        <v>45189</v>
      </c>
      <c r="D389" t="inlineStr">
        <is>
          <t>SÖDERMANLANDS LÄN</t>
        </is>
      </c>
      <c r="E389" t="inlineStr">
        <is>
          <t>NYKÖPING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31010-2020</t>
        </is>
      </c>
      <c r="B390" s="1" t="n">
        <v>44011</v>
      </c>
      <c r="C390" s="1" t="n">
        <v>45189</v>
      </c>
      <c r="D390" t="inlineStr">
        <is>
          <t>SÖDERMANLANDS LÄN</t>
        </is>
      </c>
      <c r="E390" t="inlineStr">
        <is>
          <t>NYKÖPING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31009-2020</t>
        </is>
      </c>
      <c r="B391" s="1" t="n">
        <v>44011</v>
      </c>
      <c r="C391" s="1" t="n">
        <v>45189</v>
      </c>
      <c r="D391" t="inlineStr">
        <is>
          <t>SÖDERMANLANDS LÄN</t>
        </is>
      </c>
      <c r="E391" t="inlineStr">
        <is>
          <t>NYKÖPING</t>
        </is>
      </c>
      <c r="G391" t="n">
        <v>4.8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32546-2020</t>
        </is>
      </c>
      <c r="B392" s="1" t="n">
        <v>44018</v>
      </c>
      <c r="C392" s="1" t="n">
        <v>45189</v>
      </c>
      <c r="D392" t="inlineStr">
        <is>
          <t>SÖDERMANLANDS LÄN</t>
        </is>
      </c>
      <c r="E392" t="inlineStr">
        <is>
          <t>NYKÖPING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32558-2020</t>
        </is>
      </c>
      <c r="B393" s="1" t="n">
        <v>44018</v>
      </c>
      <c r="C393" s="1" t="n">
        <v>45189</v>
      </c>
      <c r="D393" t="inlineStr">
        <is>
          <t>SÖDERMANLANDS LÄN</t>
        </is>
      </c>
      <c r="E393" t="inlineStr">
        <is>
          <t>NYKÖPING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34109-2020</t>
        </is>
      </c>
      <c r="B394" s="1" t="n">
        <v>44029</v>
      </c>
      <c r="C394" s="1" t="n">
        <v>45189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34129-2020</t>
        </is>
      </c>
      <c r="B395" s="1" t="n">
        <v>44029</v>
      </c>
      <c r="C395" s="1" t="n">
        <v>45189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Övriga Aktiebolag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34224-2020</t>
        </is>
      </c>
      <c r="B396" s="1" t="n">
        <v>44029</v>
      </c>
      <c r="C396" s="1" t="n">
        <v>45189</v>
      </c>
      <c r="D396" t="inlineStr">
        <is>
          <t>SÖDERMANLANDS LÄN</t>
        </is>
      </c>
      <c r="E396" t="inlineStr">
        <is>
          <t>NYKÖPING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34438-2020</t>
        </is>
      </c>
      <c r="B397" s="1" t="n">
        <v>44029</v>
      </c>
      <c r="C397" s="1" t="n">
        <v>45189</v>
      </c>
      <c r="D397" t="inlineStr">
        <is>
          <t>SÖDERMANLANDS LÄN</t>
        </is>
      </c>
      <c r="E397" t="inlineStr">
        <is>
          <t>NYKÖPING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34108-2020</t>
        </is>
      </c>
      <c r="B398" s="1" t="n">
        <v>44029</v>
      </c>
      <c r="C398" s="1" t="n">
        <v>45189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34122-2020</t>
        </is>
      </c>
      <c r="B399" s="1" t="n">
        <v>44029</v>
      </c>
      <c r="C399" s="1" t="n">
        <v>45189</v>
      </c>
      <c r="D399" t="inlineStr">
        <is>
          <t>SÖDERMANLANDS LÄN</t>
        </is>
      </c>
      <c r="E399" t="inlineStr">
        <is>
          <t>NYKÖPING</t>
        </is>
      </c>
      <c r="F399" t="inlineStr">
        <is>
          <t>Övriga Aktiebolag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34530-2020</t>
        </is>
      </c>
      <c r="B400" s="1" t="n">
        <v>44033</v>
      </c>
      <c r="C400" s="1" t="n">
        <v>45189</v>
      </c>
      <c r="D400" t="inlineStr">
        <is>
          <t>SÖDERMANLANDS LÄN</t>
        </is>
      </c>
      <c r="E400" t="inlineStr">
        <is>
          <t>NYKÖPING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34957-2020</t>
        </is>
      </c>
      <c r="B401" s="1" t="n">
        <v>44036</v>
      </c>
      <c r="C401" s="1" t="n">
        <v>45189</v>
      </c>
      <c r="D401" t="inlineStr">
        <is>
          <t>SÖDERMANLANDS LÄN</t>
        </is>
      </c>
      <c r="E401" t="inlineStr">
        <is>
          <t>NYKÖPING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35698-2020</t>
        </is>
      </c>
      <c r="B402" s="1" t="n">
        <v>44046</v>
      </c>
      <c r="C402" s="1" t="n">
        <v>45189</v>
      </c>
      <c r="D402" t="inlineStr">
        <is>
          <t>SÖDERMANLANDS LÄN</t>
        </is>
      </c>
      <c r="E402" t="inlineStr">
        <is>
          <t>NYKÖPING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35855-2020</t>
        </is>
      </c>
      <c r="B403" s="1" t="n">
        <v>44047</v>
      </c>
      <c r="C403" s="1" t="n">
        <v>45189</v>
      </c>
      <c r="D403" t="inlineStr">
        <is>
          <t>SÖDERMANLANDS LÄN</t>
        </is>
      </c>
      <c r="E403" t="inlineStr">
        <is>
          <t>NYKÖPING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36108-2020</t>
        </is>
      </c>
      <c r="B404" s="1" t="n">
        <v>44048</v>
      </c>
      <c r="C404" s="1" t="n">
        <v>45189</v>
      </c>
      <c r="D404" t="inlineStr">
        <is>
          <t>SÖDERMANLANDS LÄN</t>
        </is>
      </c>
      <c r="E404" t="inlineStr">
        <is>
          <t>NYKÖPING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37028-2020</t>
        </is>
      </c>
      <c r="B405" s="1" t="n">
        <v>44053</v>
      </c>
      <c r="C405" s="1" t="n">
        <v>45189</v>
      </c>
      <c r="D405" t="inlineStr">
        <is>
          <t>SÖDERMANLANDS LÄN</t>
        </is>
      </c>
      <c r="E405" t="inlineStr">
        <is>
          <t>NYKÖPING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36766-2020</t>
        </is>
      </c>
      <c r="B406" s="1" t="n">
        <v>44053</v>
      </c>
      <c r="C406" s="1" t="n">
        <v>45189</v>
      </c>
      <c r="D406" t="inlineStr">
        <is>
          <t>SÖDERMANLANDS LÄN</t>
        </is>
      </c>
      <c r="E406" t="inlineStr">
        <is>
          <t>NYKÖPING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37029-2020</t>
        </is>
      </c>
      <c r="B407" s="1" t="n">
        <v>44053</v>
      </c>
      <c r="C407" s="1" t="n">
        <v>45189</v>
      </c>
      <c r="D407" t="inlineStr">
        <is>
          <t>SÖDERMANLANDS LÄN</t>
        </is>
      </c>
      <c r="E407" t="inlineStr">
        <is>
          <t>NYKÖPING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36897-2020</t>
        </is>
      </c>
      <c r="B408" s="1" t="n">
        <v>44053</v>
      </c>
      <c r="C408" s="1" t="n">
        <v>45189</v>
      </c>
      <c r="D408" t="inlineStr">
        <is>
          <t>SÖDERMANLANDS LÄN</t>
        </is>
      </c>
      <c r="E408" t="inlineStr">
        <is>
          <t>NYKÖPING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37573-2020</t>
        </is>
      </c>
      <c r="B409" s="1" t="n">
        <v>44056</v>
      </c>
      <c r="C409" s="1" t="n">
        <v>45189</v>
      </c>
      <c r="D409" t="inlineStr">
        <is>
          <t>SÖDERMANLANDS LÄN</t>
        </is>
      </c>
      <c r="E409" t="inlineStr">
        <is>
          <t>NYKÖPING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37763-2020</t>
        </is>
      </c>
      <c r="B410" s="1" t="n">
        <v>44056</v>
      </c>
      <c r="C410" s="1" t="n">
        <v>45189</v>
      </c>
      <c r="D410" t="inlineStr">
        <is>
          <t>SÖDERMANLANDS LÄN</t>
        </is>
      </c>
      <c r="E410" t="inlineStr">
        <is>
          <t>NYKÖPING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37838-2020</t>
        </is>
      </c>
      <c r="B411" s="1" t="n">
        <v>44057</v>
      </c>
      <c r="C411" s="1" t="n">
        <v>45189</v>
      </c>
      <c r="D411" t="inlineStr">
        <is>
          <t>SÖDERMANLANDS LÄN</t>
        </is>
      </c>
      <c r="E411" t="inlineStr">
        <is>
          <t>NYKÖPING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38126-2020</t>
        </is>
      </c>
      <c r="B412" s="1" t="n">
        <v>44059</v>
      </c>
      <c r="C412" s="1" t="n">
        <v>45189</v>
      </c>
      <c r="D412" t="inlineStr">
        <is>
          <t>SÖDERMANLANDS LÄN</t>
        </is>
      </c>
      <c r="E412" t="inlineStr">
        <is>
          <t>NYKÖPING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38279-2020</t>
        </is>
      </c>
      <c r="B413" s="1" t="n">
        <v>44060</v>
      </c>
      <c r="C413" s="1" t="n">
        <v>45189</v>
      </c>
      <c r="D413" t="inlineStr">
        <is>
          <t>SÖDERMANLANDS LÄN</t>
        </is>
      </c>
      <c r="E413" t="inlineStr">
        <is>
          <t>NYKÖPING</t>
        </is>
      </c>
      <c r="G413" t="n">
        <v>19.9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38845-2020</t>
        </is>
      </c>
      <c r="B414" s="1" t="n">
        <v>44062</v>
      </c>
      <c r="C414" s="1" t="n">
        <v>45189</v>
      </c>
      <c r="D414" t="inlineStr">
        <is>
          <t>SÖDERMANLANDS LÄN</t>
        </is>
      </c>
      <c r="E414" t="inlineStr">
        <is>
          <t>NYKÖPING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39197-2020</t>
        </is>
      </c>
      <c r="B415" s="1" t="n">
        <v>44063</v>
      </c>
      <c r="C415" s="1" t="n">
        <v>45189</v>
      </c>
      <c r="D415" t="inlineStr">
        <is>
          <t>SÖDERMANLANDS LÄN</t>
        </is>
      </c>
      <c r="E415" t="inlineStr">
        <is>
          <t>NYKÖPING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39938-2020</t>
        </is>
      </c>
      <c r="B416" s="1" t="n">
        <v>44067</v>
      </c>
      <c r="C416" s="1" t="n">
        <v>45189</v>
      </c>
      <c r="D416" t="inlineStr">
        <is>
          <t>SÖDERMANLANDS LÄN</t>
        </is>
      </c>
      <c r="E416" t="inlineStr">
        <is>
          <t>NYKÖPING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39772-2020</t>
        </is>
      </c>
      <c r="B417" s="1" t="n">
        <v>44067</v>
      </c>
      <c r="C417" s="1" t="n">
        <v>45189</v>
      </c>
      <c r="D417" t="inlineStr">
        <is>
          <t>SÖDERMANLANDS LÄN</t>
        </is>
      </c>
      <c r="E417" t="inlineStr">
        <is>
          <t>NYKÖPING</t>
        </is>
      </c>
      <c r="G417" t="n">
        <v>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40503-2020</t>
        </is>
      </c>
      <c r="B418" s="1" t="n">
        <v>44069</v>
      </c>
      <c r="C418" s="1" t="n">
        <v>45189</v>
      </c>
      <c r="D418" t="inlineStr">
        <is>
          <t>SÖDERMANLANDS LÄN</t>
        </is>
      </c>
      <c r="E418" t="inlineStr">
        <is>
          <t>NYKÖPING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41479-2020</t>
        </is>
      </c>
      <c r="B419" s="1" t="n">
        <v>44070</v>
      </c>
      <c r="C419" s="1" t="n">
        <v>45189</v>
      </c>
      <c r="D419" t="inlineStr">
        <is>
          <t>SÖDERMANLANDS LÄN</t>
        </is>
      </c>
      <c r="E419" t="inlineStr">
        <is>
          <t>NYKÖPING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41790-2020</t>
        </is>
      </c>
      <c r="B420" s="1" t="n">
        <v>44074</v>
      </c>
      <c r="C420" s="1" t="n">
        <v>45189</v>
      </c>
      <c r="D420" t="inlineStr">
        <is>
          <t>SÖDERMANLANDS LÄN</t>
        </is>
      </c>
      <c r="E420" t="inlineStr">
        <is>
          <t>NYKÖPING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41821-2020</t>
        </is>
      </c>
      <c r="B421" s="1" t="n">
        <v>44074</v>
      </c>
      <c r="C421" s="1" t="n">
        <v>45189</v>
      </c>
      <c r="D421" t="inlineStr">
        <is>
          <t>SÖDERMANLANDS LÄN</t>
        </is>
      </c>
      <c r="E421" t="inlineStr">
        <is>
          <t>NYKÖPING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42824-2020</t>
        </is>
      </c>
      <c r="B422" s="1" t="n">
        <v>44078</v>
      </c>
      <c r="C422" s="1" t="n">
        <v>45189</v>
      </c>
      <c r="D422" t="inlineStr">
        <is>
          <t>SÖDERMANLANDS LÄN</t>
        </is>
      </c>
      <c r="E422" t="inlineStr">
        <is>
          <t>NYKÖPING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42829-2020</t>
        </is>
      </c>
      <c r="B423" s="1" t="n">
        <v>44078</v>
      </c>
      <c r="C423" s="1" t="n">
        <v>45189</v>
      </c>
      <c r="D423" t="inlineStr">
        <is>
          <t>SÖDERMANLANDS LÄN</t>
        </is>
      </c>
      <c r="E423" t="inlineStr">
        <is>
          <t>NYKÖPING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42820-2020</t>
        </is>
      </c>
      <c r="B424" s="1" t="n">
        <v>44078</v>
      </c>
      <c r="C424" s="1" t="n">
        <v>45189</v>
      </c>
      <c r="D424" t="inlineStr">
        <is>
          <t>SÖDERMANLANDS LÄN</t>
        </is>
      </c>
      <c r="E424" t="inlineStr">
        <is>
          <t>NYKÖPING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42825-2020</t>
        </is>
      </c>
      <c r="B425" s="1" t="n">
        <v>44078</v>
      </c>
      <c r="C425" s="1" t="n">
        <v>45189</v>
      </c>
      <c r="D425" t="inlineStr">
        <is>
          <t>SÖDERMANLANDS LÄN</t>
        </is>
      </c>
      <c r="E425" t="inlineStr">
        <is>
          <t>NYKÖPING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42832-2020</t>
        </is>
      </c>
      <c r="B426" s="1" t="n">
        <v>44078</v>
      </c>
      <c r="C426" s="1" t="n">
        <v>45189</v>
      </c>
      <c r="D426" t="inlineStr">
        <is>
          <t>SÖDERMANLANDS LÄN</t>
        </is>
      </c>
      <c r="E426" t="inlineStr">
        <is>
          <t>NYKÖPING</t>
        </is>
      </c>
      <c r="G426" t="n">
        <v>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42827-2020</t>
        </is>
      </c>
      <c r="B427" s="1" t="n">
        <v>44078</v>
      </c>
      <c r="C427" s="1" t="n">
        <v>45189</v>
      </c>
      <c r="D427" t="inlineStr">
        <is>
          <t>SÖDERMANLANDS LÄN</t>
        </is>
      </c>
      <c r="E427" t="inlineStr">
        <is>
          <t>NYKÖPING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43583-2020</t>
        </is>
      </c>
      <c r="B428" s="1" t="n">
        <v>44078</v>
      </c>
      <c r="C428" s="1" t="n">
        <v>45189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42822-2020</t>
        </is>
      </c>
      <c r="B429" s="1" t="n">
        <v>44078</v>
      </c>
      <c r="C429" s="1" t="n">
        <v>45189</v>
      </c>
      <c r="D429" t="inlineStr">
        <is>
          <t>SÖDERMANLANDS LÄN</t>
        </is>
      </c>
      <c r="E429" t="inlineStr">
        <is>
          <t>NYKÖPING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43569-2020</t>
        </is>
      </c>
      <c r="B430" s="1" t="n">
        <v>44082</v>
      </c>
      <c r="C430" s="1" t="n">
        <v>45189</v>
      </c>
      <c r="D430" t="inlineStr">
        <is>
          <t>SÖDERMANLANDS LÄN</t>
        </is>
      </c>
      <c r="E430" t="inlineStr">
        <is>
          <t>NYKÖPING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43639-2020</t>
        </is>
      </c>
      <c r="B431" s="1" t="n">
        <v>44082</v>
      </c>
      <c r="C431" s="1" t="n">
        <v>45189</v>
      </c>
      <c r="D431" t="inlineStr">
        <is>
          <t>SÖDERMANLANDS LÄN</t>
        </is>
      </c>
      <c r="E431" t="inlineStr">
        <is>
          <t>NYKÖPING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43693-2020</t>
        </is>
      </c>
      <c r="B432" s="1" t="n">
        <v>44082</v>
      </c>
      <c r="C432" s="1" t="n">
        <v>45189</v>
      </c>
      <c r="D432" t="inlineStr">
        <is>
          <t>SÖDERMANLANDS LÄN</t>
        </is>
      </c>
      <c r="E432" t="inlineStr">
        <is>
          <t>NYKÖPING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43886-2020</t>
        </is>
      </c>
      <c r="B433" s="1" t="n">
        <v>44082</v>
      </c>
      <c r="C433" s="1" t="n">
        <v>45189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Kyrkan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43642-2020</t>
        </is>
      </c>
      <c r="B434" s="1" t="n">
        <v>44082</v>
      </c>
      <c r="C434" s="1" t="n">
        <v>45189</v>
      </c>
      <c r="D434" t="inlineStr">
        <is>
          <t>SÖDERMANLANDS LÄN</t>
        </is>
      </c>
      <c r="E434" t="inlineStr">
        <is>
          <t>NYKÖPING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44254-2020</t>
        </is>
      </c>
      <c r="B435" s="1" t="n">
        <v>44084</v>
      </c>
      <c r="C435" s="1" t="n">
        <v>45189</v>
      </c>
      <c r="D435" t="inlineStr">
        <is>
          <t>SÖDERMANLANDS LÄN</t>
        </is>
      </c>
      <c r="E435" t="inlineStr">
        <is>
          <t>NYKÖPING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45303-2020</t>
        </is>
      </c>
      <c r="B436" s="1" t="n">
        <v>44085</v>
      </c>
      <c r="C436" s="1" t="n">
        <v>45189</v>
      </c>
      <c r="D436" t="inlineStr">
        <is>
          <t>SÖDERMANLANDS LÄN</t>
        </is>
      </c>
      <c r="E436" t="inlineStr">
        <is>
          <t>NYKÖPING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46249-2020</t>
        </is>
      </c>
      <c r="B437" s="1" t="n">
        <v>44092</v>
      </c>
      <c r="C437" s="1" t="n">
        <v>45189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Övriga Aktiebolag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47084-2020</t>
        </is>
      </c>
      <c r="B438" s="1" t="n">
        <v>44096</v>
      </c>
      <c r="C438" s="1" t="n">
        <v>45189</v>
      </c>
      <c r="D438" t="inlineStr">
        <is>
          <t>SÖDERMANLANDS LÄN</t>
        </is>
      </c>
      <c r="E438" t="inlineStr">
        <is>
          <t>NYKÖPING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47442-2020</t>
        </is>
      </c>
      <c r="B439" s="1" t="n">
        <v>44097</v>
      </c>
      <c r="C439" s="1" t="n">
        <v>45189</v>
      </c>
      <c r="D439" t="inlineStr">
        <is>
          <t>SÖDERMANLANDS LÄN</t>
        </is>
      </c>
      <c r="E439" t="inlineStr">
        <is>
          <t>NYKÖPING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48926-2020</t>
        </is>
      </c>
      <c r="B440" s="1" t="n">
        <v>44102</v>
      </c>
      <c r="C440" s="1" t="n">
        <v>45189</v>
      </c>
      <c r="D440" t="inlineStr">
        <is>
          <t>SÖDERMANLANDS LÄN</t>
        </is>
      </c>
      <c r="E440" t="inlineStr">
        <is>
          <t>NYKÖPING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48849-2020</t>
        </is>
      </c>
      <c r="B441" s="1" t="n">
        <v>44104</v>
      </c>
      <c r="C441" s="1" t="n">
        <v>45189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49029-2020</t>
        </is>
      </c>
      <c r="B442" s="1" t="n">
        <v>44104</v>
      </c>
      <c r="C442" s="1" t="n">
        <v>45189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50176-2020</t>
        </is>
      </c>
      <c r="B443" s="1" t="n">
        <v>44104</v>
      </c>
      <c r="C443" s="1" t="n">
        <v>45189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49412-2020</t>
        </is>
      </c>
      <c r="B444" s="1" t="n">
        <v>44105</v>
      </c>
      <c r="C444" s="1" t="n">
        <v>45189</v>
      </c>
      <c r="D444" t="inlineStr">
        <is>
          <t>SÖDERMANLANDS LÄN</t>
        </is>
      </c>
      <c r="E444" t="inlineStr">
        <is>
          <t>NYKÖPING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50130-2020</t>
        </is>
      </c>
      <c r="B445" s="1" t="n">
        <v>44109</v>
      </c>
      <c r="C445" s="1" t="n">
        <v>45189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Holmen skog AB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50510-2020</t>
        </is>
      </c>
      <c r="B446" s="1" t="n">
        <v>44110</v>
      </c>
      <c r="C446" s="1" t="n">
        <v>45189</v>
      </c>
      <c r="D446" t="inlineStr">
        <is>
          <t>SÖDERMANLANDS LÄN</t>
        </is>
      </c>
      <c r="E446" t="inlineStr">
        <is>
          <t>NYKÖPING</t>
        </is>
      </c>
      <c r="G446" t="n">
        <v>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50516-2020</t>
        </is>
      </c>
      <c r="B447" s="1" t="n">
        <v>44110</v>
      </c>
      <c r="C447" s="1" t="n">
        <v>45189</v>
      </c>
      <c r="D447" t="inlineStr">
        <is>
          <t>SÖDERMANLANDS LÄN</t>
        </is>
      </c>
      <c r="E447" t="inlineStr">
        <is>
          <t>NYKÖPING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50569-2020</t>
        </is>
      </c>
      <c r="B448" s="1" t="n">
        <v>44110</v>
      </c>
      <c r="C448" s="1" t="n">
        <v>45189</v>
      </c>
      <c r="D448" t="inlineStr">
        <is>
          <t>SÖDERMANLANDS LÄN</t>
        </is>
      </c>
      <c r="E448" t="inlineStr">
        <is>
          <t>NYKÖPING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50948-2020</t>
        </is>
      </c>
      <c r="B449" s="1" t="n">
        <v>44111</v>
      </c>
      <c r="C449" s="1" t="n">
        <v>45189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50703-2020</t>
        </is>
      </c>
      <c r="B450" s="1" t="n">
        <v>44111</v>
      </c>
      <c r="C450" s="1" t="n">
        <v>45189</v>
      </c>
      <c r="D450" t="inlineStr">
        <is>
          <t>SÖDERMANLANDS LÄN</t>
        </is>
      </c>
      <c r="E450" t="inlineStr">
        <is>
          <t>NYKÖPING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50695-2020</t>
        </is>
      </c>
      <c r="B451" s="1" t="n">
        <v>44111</v>
      </c>
      <c r="C451" s="1" t="n">
        <v>45189</v>
      </c>
      <c r="D451" t="inlineStr">
        <is>
          <t>SÖDERMANLANDS LÄN</t>
        </is>
      </c>
      <c r="E451" t="inlineStr">
        <is>
          <t>NYKÖPING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52609-2020</t>
        </is>
      </c>
      <c r="B452" s="1" t="n">
        <v>44118</v>
      </c>
      <c r="C452" s="1" t="n">
        <v>45189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Övriga Aktiebolag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52521-2020</t>
        </is>
      </c>
      <c r="B453" s="1" t="n">
        <v>44118</v>
      </c>
      <c r="C453" s="1" t="n">
        <v>45189</v>
      </c>
      <c r="D453" t="inlineStr">
        <is>
          <t>SÖDERMANLANDS LÄN</t>
        </is>
      </c>
      <c r="E453" t="inlineStr">
        <is>
          <t>NYKÖPING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52822-2020</t>
        </is>
      </c>
      <c r="B454" s="1" t="n">
        <v>44119</v>
      </c>
      <c r="C454" s="1" t="n">
        <v>45189</v>
      </c>
      <c r="D454" t="inlineStr">
        <is>
          <t>SÖDERMANLANDS LÄN</t>
        </is>
      </c>
      <c r="E454" t="inlineStr">
        <is>
          <t>NYKÖPING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52808-2020</t>
        </is>
      </c>
      <c r="B455" s="1" t="n">
        <v>44119</v>
      </c>
      <c r="C455" s="1" t="n">
        <v>45189</v>
      </c>
      <c r="D455" t="inlineStr">
        <is>
          <t>SÖDERMANLANDS LÄN</t>
        </is>
      </c>
      <c r="E455" t="inlineStr">
        <is>
          <t>NYKÖPING</t>
        </is>
      </c>
      <c r="G455" t="n">
        <v>6.4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53092-2020</t>
        </is>
      </c>
      <c r="B456" s="1" t="n">
        <v>44120</v>
      </c>
      <c r="C456" s="1" t="n">
        <v>45189</v>
      </c>
      <c r="D456" t="inlineStr">
        <is>
          <t>SÖDERMANLANDS LÄN</t>
        </is>
      </c>
      <c r="E456" t="inlineStr">
        <is>
          <t>NYKÖPING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53659-2020</t>
        </is>
      </c>
      <c r="B457" s="1" t="n">
        <v>44124</v>
      </c>
      <c r="C457" s="1" t="n">
        <v>45189</v>
      </c>
      <c r="D457" t="inlineStr">
        <is>
          <t>SÖDERMANLANDS LÄN</t>
        </is>
      </c>
      <c r="E457" t="inlineStr">
        <is>
          <t>NYKÖPING</t>
        </is>
      </c>
      <c r="G457" t="n">
        <v>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54846-2020</t>
        </is>
      </c>
      <c r="B458" s="1" t="n">
        <v>44126</v>
      </c>
      <c r="C458" s="1" t="n">
        <v>45189</v>
      </c>
      <c r="D458" t="inlineStr">
        <is>
          <t>SÖDERMANLANDS LÄN</t>
        </is>
      </c>
      <c r="E458" t="inlineStr">
        <is>
          <t>NYKÖPING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55713-2020</t>
        </is>
      </c>
      <c r="B459" s="1" t="n">
        <v>44132</v>
      </c>
      <c r="C459" s="1" t="n">
        <v>45189</v>
      </c>
      <c r="D459" t="inlineStr">
        <is>
          <t>SÖDERMANLANDS LÄN</t>
        </is>
      </c>
      <c r="E459" t="inlineStr">
        <is>
          <t>NYKÖPING</t>
        </is>
      </c>
      <c r="F459" t="inlineStr">
        <is>
          <t>Kommuner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55696-2020</t>
        </is>
      </c>
      <c r="B460" s="1" t="n">
        <v>44132</v>
      </c>
      <c r="C460" s="1" t="n">
        <v>45189</v>
      </c>
      <c r="D460" t="inlineStr">
        <is>
          <t>SÖDERMANLANDS LÄN</t>
        </is>
      </c>
      <c r="E460" t="inlineStr">
        <is>
          <t>NYKÖPING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55709-2020</t>
        </is>
      </c>
      <c r="B461" s="1" t="n">
        <v>44132</v>
      </c>
      <c r="C461" s="1" t="n">
        <v>45189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55716-2020</t>
        </is>
      </c>
      <c r="B462" s="1" t="n">
        <v>44132</v>
      </c>
      <c r="C462" s="1" t="n">
        <v>45189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Kommuner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56615-2020</t>
        </is>
      </c>
      <c r="B463" s="1" t="n">
        <v>44137</v>
      </c>
      <c r="C463" s="1" t="n">
        <v>45189</v>
      </c>
      <c r="D463" t="inlineStr">
        <is>
          <t>SÖDERMANLANDS LÄN</t>
        </is>
      </c>
      <c r="E463" t="inlineStr">
        <is>
          <t>NYKÖPING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56617-2020</t>
        </is>
      </c>
      <c r="B464" s="1" t="n">
        <v>44137</v>
      </c>
      <c r="C464" s="1" t="n">
        <v>45189</v>
      </c>
      <c r="D464" t="inlineStr">
        <is>
          <t>SÖDERMANLANDS LÄN</t>
        </is>
      </c>
      <c r="E464" t="inlineStr">
        <is>
          <t>NYKÖPING</t>
        </is>
      </c>
      <c r="G464" t="n">
        <v>0.3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57156-2020</t>
        </is>
      </c>
      <c r="B465" s="1" t="n">
        <v>44138</v>
      </c>
      <c r="C465" s="1" t="n">
        <v>45189</v>
      </c>
      <c r="D465" t="inlineStr">
        <is>
          <t>SÖDERMANLANDS LÄN</t>
        </is>
      </c>
      <c r="E465" t="inlineStr">
        <is>
          <t>NYKÖPING</t>
        </is>
      </c>
      <c r="G465" t="n">
        <v>12.4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57140-2020</t>
        </is>
      </c>
      <c r="B466" s="1" t="n">
        <v>44138</v>
      </c>
      <c r="C466" s="1" t="n">
        <v>45189</v>
      </c>
      <c r="D466" t="inlineStr">
        <is>
          <t>SÖDERMANLANDS LÄN</t>
        </is>
      </c>
      <c r="E466" t="inlineStr">
        <is>
          <t>NYKÖPING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57128-2020</t>
        </is>
      </c>
      <c r="B467" s="1" t="n">
        <v>44138</v>
      </c>
      <c r="C467" s="1" t="n">
        <v>45189</v>
      </c>
      <c r="D467" t="inlineStr">
        <is>
          <t>SÖDERMANLANDS LÄN</t>
        </is>
      </c>
      <c r="E467" t="inlineStr">
        <is>
          <t>NYKÖPING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57123-2020</t>
        </is>
      </c>
      <c r="B468" s="1" t="n">
        <v>44138</v>
      </c>
      <c r="C468" s="1" t="n">
        <v>45189</v>
      </c>
      <c r="D468" t="inlineStr">
        <is>
          <t>SÖDERMANLANDS LÄN</t>
        </is>
      </c>
      <c r="E468" t="inlineStr">
        <is>
          <t>NYKÖPING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57148-2020</t>
        </is>
      </c>
      <c r="B469" s="1" t="n">
        <v>44138</v>
      </c>
      <c r="C469" s="1" t="n">
        <v>45189</v>
      </c>
      <c r="D469" t="inlineStr">
        <is>
          <t>SÖDERMANLANDS LÄN</t>
        </is>
      </c>
      <c r="E469" t="inlineStr">
        <is>
          <t>NYKÖPING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57414-2020</t>
        </is>
      </c>
      <c r="B470" s="1" t="n">
        <v>44140</v>
      </c>
      <c r="C470" s="1" t="n">
        <v>45189</v>
      </c>
      <c r="D470" t="inlineStr">
        <is>
          <t>SÖDERMANLANDS LÄN</t>
        </is>
      </c>
      <c r="E470" t="inlineStr">
        <is>
          <t>NYKÖPING</t>
        </is>
      </c>
      <c r="G470" t="n">
        <v>12.7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58163-2020</t>
        </is>
      </c>
      <c r="B471" s="1" t="n">
        <v>44144</v>
      </c>
      <c r="C471" s="1" t="n">
        <v>45189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58154-2020</t>
        </is>
      </c>
      <c r="B472" s="1" t="n">
        <v>44144</v>
      </c>
      <c r="C472" s="1" t="n">
        <v>45189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58686-2020</t>
        </is>
      </c>
      <c r="B473" s="1" t="n">
        <v>44146</v>
      </c>
      <c r="C473" s="1" t="n">
        <v>45189</v>
      </c>
      <c r="D473" t="inlineStr">
        <is>
          <t>SÖDERMANLANDS LÄN</t>
        </is>
      </c>
      <c r="E473" t="inlineStr">
        <is>
          <t>NYKÖPING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58884-2020</t>
        </is>
      </c>
      <c r="B474" s="1" t="n">
        <v>44146</v>
      </c>
      <c r="C474" s="1" t="n">
        <v>45189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10.3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45189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58921-2020</t>
        </is>
      </c>
      <c r="B476" s="1" t="n">
        <v>44146</v>
      </c>
      <c r="C476" s="1" t="n">
        <v>45189</v>
      </c>
      <c r="D476" t="inlineStr">
        <is>
          <t>SÖDERMANLANDS LÄN</t>
        </is>
      </c>
      <c r="E476" t="inlineStr">
        <is>
          <t>NYKÖPING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58923-2020</t>
        </is>
      </c>
      <c r="B477" s="1" t="n">
        <v>44146</v>
      </c>
      <c r="C477" s="1" t="n">
        <v>45189</v>
      </c>
      <c r="D477" t="inlineStr">
        <is>
          <t>SÖDERMANLANDS LÄN</t>
        </is>
      </c>
      <c r="E477" t="inlineStr">
        <is>
          <t>NYKÖPING</t>
        </is>
      </c>
      <c r="G477" t="n">
        <v>7.8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59856-2020</t>
        </is>
      </c>
      <c r="B478" s="1" t="n">
        <v>44151</v>
      </c>
      <c r="C478" s="1" t="n">
        <v>45189</v>
      </c>
      <c r="D478" t="inlineStr">
        <is>
          <t>SÖDERMANLANDS LÄN</t>
        </is>
      </c>
      <c r="E478" t="inlineStr">
        <is>
          <t>NYKÖPING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60232-2020</t>
        </is>
      </c>
      <c r="B479" s="1" t="n">
        <v>44152</v>
      </c>
      <c r="C479" s="1" t="n">
        <v>45189</v>
      </c>
      <c r="D479" t="inlineStr">
        <is>
          <t>SÖDERMANLANDS LÄN</t>
        </is>
      </c>
      <c r="E479" t="inlineStr">
        <is>
          <t>NYKÖPING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60274-2020</t>
        </is>
      </c>
      <c r="B480" s="1" t="n">
        <v>44152</v>
      </c>
      <c r="C480" s="1" t="n">
        <v>45189</v>
      </c>
      <c r="D480" t="inlineStr">
        <is>
          <t>SÖDERMANLANDS LÄN</t>
        </is>
      </c>
      <c r="E480" t="inlineStr">
        <is>
          <t>NYKÖPING</t>
        </is>
      </c>
      <c r="F480" t="inlineStr">
        <is>
          <t>Holmen skog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61003-2020</t>
        </is>
      </c>
      <c r="B481" s="1" t="n">
        <v>44153</v>
      </c>
      <c r="C481" s="1" t="n">
        <v>45189</v>
      </c>
      <c r="D481" t="inlineStr">
        <is>
          <t>SÖDERMANLANDS LÄN</t>
        </is>
      </c>
      <c r="E481" t="inlineStr">
        <is>
          <t>NYKÖPING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60464-2020</t>
        </is>
      </c>
      <c r="B482" s="1" t="n">
        <v>44153</v>
      </c>
      <c r="C482" s="1" t="n">
        <v>45189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60478-2020</t>
        </is>
      </c>
      <c r="B483" s="1" t="n">
        <v>44153</v>
      </c>
      <c r="C483" s="1" t="n">
        <v>45189</v>
      </c>
      <c r="D483" t="inlineStr">
        <is>
          <t>SÖDERMANLANDS LÄN</t>
        </is>
      </c>
      <c r="E483" t="inlineStr">
        <is>
          <t>NYKÖPING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61006-2020</t>
        </is>
      </c>
      <c r="B484" s="1" t="n">
        <v>44153</v>
      </c>
      <c r="C484" s="1" t="n">
        <v>45189</v>
      </c>
      <c r="D484" t="inlineStr">
        <is>
          <t>SÖDERMANLANDS LÄN</t>
        </is>
      </c>
      <c r="E484" t="inlineStr">
        <is>
          <t>NYKÖPING</t>
        </is>
      </c>
      <c r="G484" t="n">
        <v>13.6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61905-2020</t>
        </is>
      </c>
      <c r="B485" s="1" t="n">
        <v>44158</v>
      </c>
      <c r="C485" s="1" t="n">
        <v>45189</v>
      </c>
      <c r="D485" t="inlineStr">
        <is>
          <t>SÖDERMANLANDS LÄN</t>
        </is>
      </c>
      <c r="E485" t="inlineStr">
        <is>
          <t>NYKÖPING</t>
        </is>
      </c>
      <c r="F485" t="inlineStr">
        <is>
          <t>Kyrkan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64151-2020</t>
        </is>
      </c>
      <c r="B486" s="1" t="n">
        <v>44167</v>
      </c>
      <c r="C486" s="1" t="n">
        <v>45189</v>
      </c>
      <c r="D486" t="inlineStr">
        <is>
          <t>SÖDERMANLANDS LÄN</t>
        </is>
      </c>
      <c r="E486" t="inlineStr">
        <is>
          <t>NYKÖPING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67543-2020</t>
        </is>
      </c>
      <c r="B487" s="1" t="n">
        <v>44181</v>
      </c>
      <c r="C487" s="1" t="n">
        <v>45189</v>
      </c>
      <c r="D487" t="inlineStr">
        <is>
          <t>SÖDERMANLANDS LÄN</t>
        </is>
      </c>
      <c r="E487" t="inlineStr">
        <is>
          <t>NYKÖPING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67682-2020</t>
        </is>
      </c>
      <c r="B488" s="1" t="n">
        <v>44181</v>
      </c>
      <c r="C488" s="1" t="n">
        <v>45189</v>
      </c>
      <c r="D488" t="inlineStr">
        <is>
          <t>SÖDERMANLANDS LÄN</t>
        </is>
      </c>
      <c r="E488" t="inlineStr">
        <is>
          <t>NYKÖPING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69077-2020</t>
        </is>
      </c>
      <c r="B489" s="1" t="n">
        <v>44188</v>
      </c>
      <c r="C489" s="1" t="n">
        <v>45189</v>
      </c>
      <c r="D489" t="inlineStr">
        <is>
          <t>SÖDERMANLANDS LÄN</t>
        </is>
      </c>
      <c r="E489" t="inlineStr">
        <is>
          <t>NYKÖPING</t>
        </is>
      </c>
      <c r="G489" t="n">
        <v>4.4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21-2021</t>
        </is>
      </c>
      <c r="B490" s="1" t="n">
        <v>44197</v>
      </c>
      <c r="C490" s="1" t="n">
        <v>45189</v>
      </c>
      <c r="D490" t="inlineStr">
        <is>
          <t>SÖDERMANLANDS LÄN</t>
        </is>
      </c>
      <c r="E490" t="inlineStr">
        <is>
          <t>NYKÖPING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16-2021</t>
        </is>
      </c>
      <c r="B491" s="1" t="n">
        <v>44197</v>
      </c>
      <c r="C491" s="1" t="n">
        <v>45189</v>
      </c>
      <c r="D491" t="inlineStr">
        <is>
          <t>SÖDERMANLANDS LÄN</t>
        </is>
      </c>
      <c r="E491" t="inlineStr">
        <is>
          <t>NYKÖPING</t>
        </is>
      </c>
      <c r="G491" t="n">
        <v>4.9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38-2021</t>
        </is>
      </c>
      <c r="B492" s="1" t="n">
        <v>44198</v>
      </c>
      <c r="C492" s="1" t="n">
        <v>45189</v>
      </c>
      <c r="D492" t="inlineStr">
        <is>
          <t>SÖDERMANLANDS LÄN</t>
        </is>
      </c>
      <c r="E492" t="inlineStr">
        <is>
          <t>NYKÖPING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37-2021</t>
        </is>
      </c>
      <c r="B493" s="1" t="n">
        <v>44198</v>
      </c>
      <c r="C493" s="1" t="n">
        <v>45189</v>
      </c>
      <c r="D493" t="inlineStr">
        <is>
          <t>SÖDERMANLANDS LÄN</t>
        </is>
      </c>
      <c r="E493" t="inlineStr">
        <is>
          <t>NYKÖPING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40-2021</t>
        </is>
      </c>
      <c r="B494" s="1" t="n">
        <v>44198</v>
      </c>
      <c r="C494" s="1" t="n">
        <v>45189</v>
      </c>
      <c r="D494" t="inlineStr">
        <is>
          <t>SÖDERMANLANDS LÄN</t>
        </is>
      </c>
      <c r="E494" t="inlineStr">
        <is>
          <t>NYKÖPING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60-2021</t>
        </is>
      </c>
      <c r="B495" s="1" t="n">
        <v>44199</v>
      </c>
      <c r="C495" s="1" t="n">
        <v>45189</v>
      </c>
      <c r="D495" t="inlineStr">
        <is>
          <t>SÖDERMANLANDS LÄN</t>
        </is>
      </c>
      <c r="E495" t="inlineStr">
        <is>
          <t>NYKÖPING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67-2021</t>
        </is>
      </c>
      <c r="B496" s="1" t="n">
        <v>44199</v>
      </c>
      <c r="C496" s="1" t="n">
        <v>45189</v>
      </c>
      <c r="D496" t="inlineStr">
        <is>
          <t>SÖDERMANLANDS LÄN</t>
        </is>
      </c>
      <c r="E496" t="inlineStr">
        <is>
          <t>NYKÖPING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63-2021</t>
        </is>
      </c>
      <c r="B497" s="1" t="n">
        <v>44199</v>
      </c>
      <c r="C497" s="1" t="n">
        <v>45189</v>
      </c>
      <c r="D497" t="inlineStr">
        <is>
          <t>SÖDERMANLANDS LÄN</t>
        </is>
      </c>
      <c r="E497" t="inlineStr">
        <is>
          <t>NYKÖPING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64-2021</t>
        </is>
      </c>
      <c r="B498" s="1" t="n">
        <v>44199</v>
      </c>
      <c r="C498" s="1" t="n">
        <v>45189</v>
      </c>
      <c r="D498" t="inlineStr">
        <is>
          <t>SÖDERMANLANDS LÄN</t>
        </is>
      </c>
      <c r="E498" t="inlineStr">
        <is>
          <t>NYKÖPING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61-2021</t>
        </is>
      </c>
      <c r="B499" s="1" t="n">
        <v>44199</v>
      </c>
      <c r="C499" s="1" t="n">
        <v>45189</v>
      </c>
      <c r="D499" t="inlineStr">
        <is>
          <t>SÖDERMANLANDS LÄN</t>
        </is>
      </c>
      <c r="E499" t="inlineStr">
        <is>
          <t>NYKÖPING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68-2021</t>
        </is>
      </c>
      <c r="B500" s="1" t="n">
        <v>44199</v>
      </c>
      <c r="C500" s="1" t="n">
        <v>45189</v>
      </c>
      <c r="D500" t="inlineStr">
        <is>
          <t>SÖDERMANLANDS LÄN</t>
        </is>
      </c>
      <c r="E500" t="inlineStr">
        <is>
          <t>NYKÖPING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75-2021</t>
        </is>
      </c>
      <c r="B501" s="1" t="n">
        <v>44200</v>
      </c>
      <c r="C501" s="1" t="n">
        <v>45189</v>
      </c>
      <c r="D501" t="inlineStr">
        <is>
          <t>SÖDERMANLANDS LÄN</t>
        </is>
      </c>
      <c r="E501" t="inlineStr">
        <is>
          <t>NYKÖPING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358-2021</t>
        </is>
      </c>
      <c r="B502" s="1" t="n">
        <v>44200</v>
      </c>
      <c r="C502" s="1" t="n">
        <v>45189</v>
      </c>
      <c r="D502" t="inlineStr">
        <is>
          <t>SÖDERMANLANDS LÄN</t>
        </is>
      </c>
      <c r="E502" t="inlineStr">
        <is>
          <t>NYKÖPING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73-2021</t>
        </is>
      </c>
      <c r="B503" s="1" t="n">
        <v>44200</v>
      </c>
      <c r="C503" s="1" t="n">
        <v>45189</v>
      </c>
      <c r="D503" t="inlineStr">
        <is>
          <t>SÖDERMANLANDS LÄN</t>
        </is>
      </c>
      <c r="E503" t="inlineStr">
        <is>
          <t>NYKÖPING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346-2021</t>
        </is>
      </c>
      <c r="B504" s="1" t="n">
        <v>44200</v>
      </c>
      <c r="C504" s="1" t="n">
        <v>45189</v>
      </c>
      <c r="D504" t="inlineStr">
        <is>
          <t>SÖDERMANLANDS LÄN</t>
        </is>
      </c>
      <c r="E504" t="inlineStr">
        <is>
          <t>NYKÖPING</t>
        </is>
      </c>
      <c r="F504" t="inlineStr">
        <is>
          <t>Allmännings- och besparingsskogar</t>
        </is>
      </c>
      <c r="G504" t="n">
        <v>18.1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70-2021</t>
        </is>
      </c>
      <c r="B505" s="1" t="n">
        <v>44200</v>
      </c>
      <c r="C505" s="1" t="n">
        <v>45189</v>
      </c>
      <c r="D505" t="inlineStr">
        <is>
          <t>SÖDERMANLANDS LÄN</t>
        </is>
      </c>
      <c r="E505" t="inlineStr">
        <is>
          <t>NYKÖPING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69-2021</t>
        </is>
      </c>
      <c r="B506" s="1" t="n">
        <v>44200</v>
      </c>
      <c r="C506" s="1" t="n">
        <v>45189</v>
      </c>
      <c r="D506" t="inlineStr">
        <is>
          <t>SÖDERMANLANDS LÄN</t>
        </is>
      </c>
      <c r="E506" t="inlineStr">
        <is>
          <t>NYKÖPING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76-2021</t>
        </is>
      </c>
      <c r="B507" s="1" t="n">
        <v>44200</v>
      </c>
      <c r="C507" s="1" t="n">
        <v>45189</v>
      </c>
      <c r="D507" t="inlineStr">
        <is>
          <t>SÖDERMANLANDS LÄN</t>
        </is>
      </c>
      <c r="E507" t="inlineStr">
        <is>
          <t>NYKÖPING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229-2021</t>
        </is>
      </c>
      <c r="B508" s="1" t="n">
        <v>44200</v>
      </c>
      <c r="C508" s="1" t="n">
        <v>45189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1083-2021</t>
        </is>
      </c>
      <c r="B509" s="1" t="n">
        <v>44207</v>
      </c>
      <c r="C509" s="1" t="n">
        <v>45189</v>
      </c>
      <c r="D509" t="inlineStr">
        <is>
          <t>SÖDERMANLANDS LÄN</t>
        </is>
      </c>
      <c r="E509" t="inlineStr">
        <is>
          <t>NYKÖPING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1547-2021</t>
        </is>
      </c>
      <c r="B510" s="1" t="n">
        <v>44209</v>
      </c>
      <c r="C510" s="1" t="n">
        <v>45189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1605-2021</t>
        </is>
      </c>
      <c r="B511" s="1" t="n">
        <v>44209</v>
      </c>
      <c r="C511" s="1" t="n">
        <v>45189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2541-2021</t>
        </is>
      </c>
      <c r="B512" s="1" t="n">
        <v>44214</v>
      </c>
      <c r="C512" s="1" t="n">
        <v>45189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2851-2021</t>
        </is>
      </c>
      <c r="B513" s="1" t="n">
        <v>44216</v>
      </c>
      <c r="C513" s="1" t="n">
        <v>45189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2863-2021</t>
        </is>
      </c>
      <c r="B514" s="1" t="n">
        <v>44216</v>
      </c>
      <c r="C514" s="1" t="n">
        <v>45189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2866-2021</t>
        </is>
      </c>
      <c r="B515" s="1" t="n">
        <v>44216</v>
      </c>
      <c r="C515" s="1" t="n">
        <v>45189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0.1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3068-2021</t>
        </is>
      </c>
      <c r="B516" s="1" t="n">
        <v>44216</v>
      </c>
      <c r="C516" s="1" t="n">
        <v>45189</v>
      </c>
      <c r="D516" t="inlineStr">
        <is>
          <t>SÖDERMANLANDS LÄN</t>
        </is>
      </c>
      <c r="E516" t="inlineStr">
        <is>
          <t>NYKÖPING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3382-2021</t>
        </is>
      </c>
      <c r="B517" s="1" t="n">
        <v>44217</v>
      </c>
      <c r="C517" s="1" t="n">
        <v>45189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Kommuner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3359-2021</t>
        </is>
      </c>
      <c r="B518" s="1" t="n">
        <v>44218</v>
      </c>
      <c r="C518" s="1" t="n">
        <v>45189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Holmen skog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4322-2021</t>
        </is>
      </c>
      <c r="B519" s="1" t="n">
        <v>44223</v>
      </c>
      <c r="C519" s="1" t="n">
        <v>45189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4610-2021</t>
        </is>
      </c>
      <c r="B520" s="1" t="n">
        <v>44224</v>
      </c>
      <c r="C520" s="1" t="n">
        <v>45189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4623-2021</t>
        </is>
      </c>
      <c r="B521" s="1" t="n">
        <v>44224</v>
      </c>
      <c r="C521" s="1" t="n">
        <v>45189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Holmen skog AB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4642-2021</t>
        </is>
      </c>
      <c r="B522" s="1" t="n">
        <v>44224</v>
      </c>
      <c r="C522" s="1" t="n">
        <v>45189</v>
      </c>
      <c r="D522" t="inlineStr">
        <is>
          <t>SÖDERMANLANDS LÄN</t>
        </is>
      </c>
      <c r="E522" t="inlineStr">
        <is>
          <t>NYKÖPING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4461-2021</t>
        </is>
      </c>
      <c r="B523" s="1" t="n">
        <v>44224</v>
      </c>
      <c r="C523" s="1" t="n">
        <v>45189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4596-2021</t>
        </is>
      </c>
      <c r="B524" s="1" t="n">
        <v>44224</v>
      </c>
      <c r="C524" s="1" t="n">
        <v>45189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4609-2021</t>
        </is>
      </c>
      <c r="B525" s="1" t="n">
        <v>44224</v>
      </c>
      <c r="C525" s="1" t="n">
        <v>45189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6171-2021</t>
        </is>
      </c>
      <c r="B526" s="1" t="n">
        <v>44232</v>
      </c>
      <c r="C526" s="1" t="n">
        <v>45189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6295-2021</t>
        </is>
      </c>
      <c r="B527" s="1" t="n">
        <v>44235</v>
      </c>
      <c r="C527" s="1" t="n">
        <v>45189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7006-2021</t>
        </is>
      </c>
      <c r="B528" s="1" t="n">
        <v>44237</v>
      </c>
      <c r="C528" s="1" t="n">
        <v>45189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Holmen skog AB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7000-2021</t>
        </is>
      </c>
      <c r="B529" s="1" t="n">
        <v>44237</v>
      </c>
      <c r="C529" s="1" t="n">
        <v>45189</v>
      </c>
      <c r="D529" t="inlineStr">
        <is>
          <t>SÖDERMANLANDS LÄN</t>
        </is>
      </c>
      <c r="E529" t="inlineStr">
        <is>
          <t>NYKÖPING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7022-2021</t>
        </is>
      </c>
      <c r="B530" s="1" t="n">
        <v>44237</v>
      </c>
      <c r="C530" s="1" t="n">
        <v>45189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7172-2021</t>
        </is>
      </c>
      <c r="B531" s="1" t="n">
        <v>44238</v>
      </c>
      <c r="C531" s="1" t="n">
        <v>45189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7187-2021</t>
        </is>
      </c>
      <c r="B532" s="1" t="n">
        <v>44238</v>
      </c>
      <c r="C532" s="1" t="n">
        <v>45189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7503-2021</t>
        </is>
      </c>
      <c r="B533" s="1" t="n">
        <v>44239</v>
      </c>
      <c r="C533" s="1" t="n">
        <v>45189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7434-2021</t>
        </is>
      </c>
      <c r="B534" s="1" t="n">
        <v>44239</v>
      </c>
      <c r="C534" s="1" t="n">
        <v>45189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7462-2021</t>
        </is>
      </c>
      <c r="B535" s="1" t="n">
        <v>44239</v>
      </c>
      <c r="C535" s="1" t="n">
        <v>45189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Holmen skog AB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8455-2021</t>
        </is>
      </c>
      <c r="B536" s="1" t="n">
        <v>44245</v>
      </c>
      <c r="C536" s="1" t="n">
        <v>45189</v>
      </c>
      <c r="D536" t="inlineStr">
        <is>
          <t>SÖDERMANLANDS LÄN</t>
        </is>
      </c>
      <c r="E536" t="inlineStr">
        <is>
          <t>NYKÖPING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8523-2021</t>
        </is>
      </c>
      <c r="B537" s="1" t="n">
        <v>44245</v>
      </c>
      <c r="C537" s="1" t="n">
        <v>45189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8767-2021</t>
        </is>
      </c>
      <c r="B538" s="1" t="n">
        <v>44246</v>
      </c>
      <c r="C538" s="1" t="n">
        <v>45189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8742-2021</t>
        </is>
      </c>
      <c r="B539" s="1" t="n">
        <v>44246</v>
      </c>
      <c r="C539" s="1" t="n">
        <v>45189</v>
      </c>
      <c r="D539" t="inlineStr">
        <is>
          <t>SÖDERMANLANDS LÄN</t>
        </is>
      </c>
      <c r="E539" t="inlineStr">
        <is>
          <t>NYKÖPING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9039-2021</t>
        </is>
      </c>
      <c r="B540" s="1" t="n">
        <v>44249</v>
      </c>
      <c r="C540" s="1" t="n">
        <v>45189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9101-2021</t>
        </is>
      </c>
      <c r="B541" s="1" t="n">
        <v>44249</v>
      </c>
      <c r="C541" s="1" t="n">
        <v>45189</v>
      </c>
      <c r="D541" t="inlineStr">
        <is>
          <t>SÖDERMANLANDS LÄN</t>
        </is>
      </c>
      <c r="E541" t="inlineStr">
        <is>
          <t>NYKÖPING</t>
        </is>
      </c>
      <c r="F541" t="inlineStr">
        <is>
          <t>Holmen skog AB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9320-2021</t>
        </is>
      </c>
      <c r="B542" s="1" t="n">
        <v>44250</v>
      </c>
      <c r="C542" s="1" t="n">
        <v>45189</v>
      </c>
      <c r="D542" t="inlineStr">
        <is>
          <t>SÖDERMANLANDS LÄN</t>
        </is>
      </c>
      <c r="E542" t="inlineStr">
        <is>
          <t>NYKÖPING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9589-2021</t>
        </is>
      </c>
      <c r="B543" s="1" t="n">
        <v>44251</v>
      </c>
      <c r="C543" s="1" t="n">
        <v>45189</v>
      </c>
      <c r="D543" t="inlineStr">
        <is>
          <t>SÖDERMANLANDS LÄN</t>
        </is>
      </c>
      <c r="E543" t="inlineStr">
        <is>
          <t>NYKÖPING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9478-2021</t>
        </is>
      </c>
      <c r="B544" s="1" t="n">
        <v>44251</v>
      </c>
      <c r="C544" s="1" t="n">
        <v>45189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10141-2021</t>
        </is>
      </c>
      <c r="B545" s="1" t="n">
        <v>44256</v>
      </c>
      <c r="C545" s="1" t="n">
        <v>45189</v>
      </c>
      <c r="D545" t="inlineStr">
        <is>
          <t>SÖDERMANLANDS LÄN</t>
        </is>
      </c>
      <c r="E545" t="inlineStr">
        <is>
          <t>NYKÖPING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10149-2021</t>
        </is>
      </c>
      <c r="B546" s="1" t="n">
        <v>44256</v>
      </c>
      <c r="C546" s="1" t="n">
        <v>45189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10152-2021</t>
        </is>
      </c>
      <c r="B547" s="1" t="n">
        <v>44256</v>
      </c>
      <c r="C547" s="1" t="n">
        <v>45189</v>
      </c>
      <c r="D547" t="inlineStr">
        <is>
          <t>SÖDERMANLANDS LÄN</t>
        </is>
      </c>
      <c r="E547" t="inlineStr">
        <is>
          <t>NYKÖPING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10161-2021</t>
        </is>
      </c>
      <c r="B548" s="1" t="n">
        <v>44256</v>
      </c>
      <c r="C548" s="1" t="n">
        <v>45189</v>
      </c>
      <c r="D548" t="inlineStr">
        <is>
          <t>SÖDERMANLANDS LÄN</t>
        </is>
      </c>
      <c r="E548" t="inlineStr">
        <is>
          <t>NYKÖPING</t>
        </is>
      </c>
      <c r="G548" t="n">
        <v>5.4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10550-2021</t>
        </is>
      </c>
      <c r="B549" s="1" t="n">
        <v>44258</v>
      </c>
      <c r="C549" s="1" t="n">
        <v>45189</v>
      </c>
      <c r="D549" t="inlineStr">
        <is>
          <t>SÖDERMANLANDS LÄN</t>
        </is>
      </c>
      <c r="E549" t="inlineStr">
        <is>
          <t>NYKÖPING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10848-2021</t>
        </is>
      </c>
      <c r="B550" s="1" t="n">
        <v>44259</v>
      </c>
      <c r="C550" s="1" t="n">
        <v>45189</v>
      </c>
      <c r="D550" t="inlineStr">
        <is>
          <t>SÖDERMANLANDS LÄN</t>
        </is>
      </c>
      <c r="E550" t="inlineStr">
        <is>
          <t>NYKÖPING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10862-2021</t>
        </is>
      </c>
      <c r="B551" s="1" t="n">
        <v>44259</v>
      </c>
      <c r="C551" s="1" t="n">
        <v>45189</v>
      </c>
      <c r="D551" t="inlineStr">
        <is>
          <t>SÖDERMANLANDS LÄN</t>
        </is>
      </c>
      <c r="E551" t="inlineStr">
        <is>
          <t>NYKÖPING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11151-2021</t>
        </is>
      </c>
      <c r="B552" s="1" t="n">
        <v>44261</v>
      </c>
      <c r="C552" s="1" t="n">
        <v>45189</v>
      </c>
      <c r="D552" t="inlineStr">
        <is>
          <t>SÖDERMANLANDS LÄN</t>
        </is>
      </c>
      <c r="E552" t="inlineStr">
        <is>
          <t>NYKÖPING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14654-2021</t>
        </is>
      </c>
      <c r="B553" s="1" t="n">
        <v>44264</v>
      </c>
      <c r="C553" s="1" t="n">
        <v>45189</v>
      </c>
      <c r="D553" t="inlineStr">
        <is>
          <t>SÖDERMANLANDS LÄN</t>
        </is>
      </c>
      <c r="E553" t="inlineStr">
        <is>
          <t>NYKÖPING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11582-2021</t>
        </is>
      </c>
      <c r="B554" s="1" t="n">
        <v>44264</v>
      </c>
      <c r="C554" s="1" t="n">
        <v>45189</v>
      </c>
      <c r="D554" t="inlineStr">
        <is>
          <t>SÖDERMANLANDS LÄN</t>
        </is>
      </c>
      <c r="E554" t="inlineStr">
        <is>
          <t>NYKÖPING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14686-2021</t>
        </is>
      </c>
      <c r="B555" s="1" t="n">
        <v>44264</v>
      </c>
      <c r="C555" s="1" t="n">
        <v>45189</v>
      </c>
      <c r="D555" t="inlineStr">
        <is>
          <t>SÖDERMANLANDS LÄN</t>
        </is>
      </c>
      <c r="E555" t="inlineStr">
        <is>
          <t>NYKÖPING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11985-2021</t>
        </is>
      </c>
      <c r="B556" s="1" t="n">
        <v>44266</v>
      </c>
      <c r="C556" s="1" t="n">
        <v>45189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12205-2021</t>
        </is>
      </c>
      <c r="B557" s="1" t="n">
        <v>44266</v>
      </c>
      <c r="C557" s="1" t="n">
        <v>45189</v>
      </c>
      <c r="D557" t="inlineStr">
        <is>
          <t>SÖDERMANLANDS LÄN</t>
        </is>
      </c>
      <c r="E557" t="inlineStr">
        <is>
          <t>NYKÖPING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12332-2021</t>
        </is>
      </c>
      <c r="B558" s="1" t="n">
        <v>44267</v>
      </c>
      <c r="C558" s="1" t="n">
        <v>45189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12340-2021</t>
        </is>
      </c>
      <c r="B559" s="1" t="n">
        <v>44267</v>
      </c>
      <c r="C559" s="1" t="n">
        <v>45189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Holmen skog AB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12960-2021</t>
        </is>
      </c>
      <c r="B560" s="1" t="n">
        <v>44271</v>
      </c>
      <c r="C560" s="1" t="n">
        <v>45189</v>
      </c>
      <c r="D560" t="inlineStr">
        <is>
          <t>SÖDERMANLANDS LÄN</t>
        </is>
      </c>
      <c r="E560" t="inlineStr">
        <is>
          <t>NYKÖPING</t>
        </is>
      </c>
      <c r="G560" t="n">
        <v>12.6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13120-2021</t>
        </is>
      </c>
      <c r="B561" s="1" t="n">
        <v>44272</v>
      </c>
      <c r="C561" s="1" t="n">
        <v>45189</v>
      </c>
      <c r="D561" t="inlineStr">
        <is>
          <t>SÖDERMANLANDS LÄN</t>
        </is>
      </c>
      <c r="E561" t="inlineStr">
        <is>
          <t>NYKÖPING</t>
        </is>
      </c>
      <c r="G561" t="n">
        <v>10.3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13279-2021</t>
        </is>
      </c>
      <c r="B562" s="1" t="n">
        <v>44272</v>
      </c>
      <c r="C562" s="1" t="n">
        <v>45189</v>
      </c>
      <c r="D562" t="inlineStr">
        <is>
          <t>SÖDERMANLANDS LÄN</t>
        </is>
      </c>
      <c r="E562" t="inlineStr">
        <is>
          <t>NYKÖPING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13573-2021</t>
        </is>
      </c>
      <c r="B563" s="1" t="n">
        <v>44273</v>
      </c>
      <c r="C563" s="1" t="n">
        <v>45189</v>
      </c>
      <c r="D563" t="inlineStr">
        <is>
          <t>SÖDERMANLANDS LÄN</t>
        </is>
      </c>
      <c r="E563" t="inlineStr">
        <is>
          <t>NYKÖPING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13759-2021</t>
        </is>
      </c>
      <c r="B564" s="1" t="n">
        <v>44274</v>
      </c>
      <c r="C564" s="1" t="n">
        <v>45189</v>
      </c>
      <c r="D564" t="inlineStr">
        <is>
          <t>SÖDERMANLANDS LÄN</t>
        </is>
      </c>
      <c r="E564" t="inlineStr">
        <is>
          <t>NYKÖPING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14176-2021</t>
        </is>
      </c>
      <c r="B565" s="1" t="n">
        <v>44278</v>
      </c>
      <c r="C565" s="1" t="n">
        <v>45189</v>
      </c>
      <c r="D565" t="inlineStr">
        <is>
          <t>SÖDERMANLANDS LÄN</t>
        </is>
      </c>
      <c r="E565" t="inlineStr">
        <is>
          <t>NYKÖPING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14175-2021</t>
        </is>
      </c>
      <c r="B566" s="1" t="n">
        <v>44278</v>
      </c>
      <c r="C566" s="1" t="n">
        <v>45189</v>
      </c>
      <c r="D566" t="inlineStr">
        <is>
          <t>SÖDERMANLANDS LÄN</t>
        </is>
      </c>
      <c r="E566" t="inlineStr">
        <is>
          <t>NYKÖPING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15520-2021</t>
        </is>
      </c>
      <c r="B567" s="1" t="n">
        <v>44285</v>
      </c>
      <c r="C567" s="1" t="n">
        <v>45189</v>
      </c>
      <c r="D567" t="inlineStr">
        <is>
          <t>SÖDERMANLANDS LÄN</t>
        </is>
      </c>
      <c r="E567" t="inlineStr">
        <is>
          <t>NYKÖPING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15532-2021</t>
        </is>
      </c>
      <c r="B568" s="1" t="n">
        <v>44285</v>
      </c>
      <c r="C568" s="1" t="n">
        <v>45189</v>
      </c>
      <c r="D568" t="inlineStr">
        <is>
          <t>SÖDERMANLANDS LÄN</t>
        </is>
      </c>
      <c r="E568" t="inlineStr">
        <is>
          <t>NYKÖPING</t>
        </is>
      </c>
      <c r="G568" t="n">
        <v>4.9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16526-2021</t>
        </is>
      </c>
      <c r="B569" s="1" t="n">
        <v>44293</v>
      </c>
      <c r="C569" s="1" t="n">
        <v>45189</v>
      </c>
      <c r="D569" t="inlineStr">
        <is>
          <t>SÖDERMANLANDS LÄN</t>
        </is>
      </c>
      <c r="E569" t="inlineStr">
        <is>
          <t>NYKÖPING</t>
        </is>
      </c>
      <c r="F569" t="inlineStr">
        <is>
          <t>Allmännings- och besparingsskogar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16456-2021</t>
        </is>
      </c>
      <c r="B570" s="1" t="n">
        <v>44293</v>
      </c>
      <c r="C570" s="1" t="n">
        <v>45189</v>
      </c>
      <c r="D570" t="inlineStr">
        <is>
          <t>SÖDERMANLANDS LÄN</t>
        </is>
      </c>
      <c r="E570" t="inlineStr">
        <is>
          <t>NYKÖPING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16616-2021</t>
        </is>
      </c>
      <c r="B571" s="1" t="n">
        <v>44294</v>
      </c>
      <c r="C571" s="1" t="n">
        <v>45189</v>
      </c>
      <c r="D571" t="inlineStr">
        <is>
          <t>SÖDERMANLANDS LÄN</t>
        </is>
      </c>
      <c r="E571" t="inlineStr">
        <is>
          <t>NYKÖPING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16740-2021</t>
        </is>
      </c>
      <c r="B572" s="1" t="n">
        <v>44294</v>
      </c>
      <c r="C572" s="1" t="n">
        <v>45189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Kyrkan</t>
        </is>
      </c>
      <c r="G572" t="n">
        <v>9.5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17800-2021</t>
        </is>
      </c>
      <c r="B573" s="1" t="n">
        <v>44300</v>
      </c>
      <c r="C573" s="1" t="n">
        <v>45189</v>
      </c>
      <c r="D573" t="inlineStr">
        <is>
          <t>SÖDERMANLANDS LÄN</t>
        </is>
      </c>
      <c r="E573" t="inlineStr">
        <is>
          <t>NYKÖPING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18161-2021</t>
        </is>
      </c>
      <c r="B574" s="1" t="n">
        <v>44302</v>
      </c>
      <c r="C574" s="1" t="n">
        <v>45189</v>
      </c>
      <c r="D574" t="inlineStr">
        <is>
          <t>SÖDERMANLANDS LÄN</t>
        </is>
      </c>
      <c r="E574" t="inlineStr">
        <is>
          <t>NYKÖPING</t>
        </is>
      </c>
      <c r="G574" t="n">
        <v>23.9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18665-2021</t>
        </is>
      </c>
      <c r="B575" s="1" t="n">
        <v>44306</v>
      </c>
      <c r="C575" s="1" t="n">
        <v>45189</v>
      </c>
      <c r="D575" t="inlineStr">
        <is>
          <t>SÖDERMANLANDS LÄN</t>
        </is>
      </c>
      <c r="E575" t="inlineStr">
        <is>
          <t>NYKÖPING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20437-2021</t>
        </is>
      </c>
      <c r="B576" s="1" t="n">
        <v>44315</v>
      </c>
      <c r="C576" s="1" t="n">
        <v>45189</v>
      </c>
      <c r="D576" t="inlineStr">
        <is>
          <t>SÖDERMANLANDS LÄN</t>
        </is>
      </c>
      <c r="E576" t="inlineStr">
        <is>
          <t>NYKÖPING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21540-2021</t>
        </is>
      </c>
      <c r="B577" s="1" t="n">
        <v>44316</v>
      </c>
      <c r="C577" s="1" t="n">
        <v>45189</v>
      </c>
      <c r="D577" t="inlineStr">
        <is>
          <t>SÖDERMANLANDS LÄN</t>
        </is>
      </c>
      <c r="E577" t="inlineStr">
        <is>
          <t>NYKÖPING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22486-2021</t>
        </is>
      </c>
      <c r="B578" s="1" t="n">
        <v>44326</v>
      </c>
      <c r="C578" s="1" t="n">
        <v>45189</v>
      </c>
      <c r="D578" t="inlineStr">
        <is>
          <t>SÖDERMANLANDS LÄN</t>
        </is>
      </c>
      <c r="E578" t="inlineStr">
        <is>
          <t>NYKÖPING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23346-2021</t>
        </is>
      </c>
      <c r="B579" s="1" t="n">
        <v>44333</v>
      </c>
      <c r="C579" s="1" t="n">
        <v>45189</v>
      </c>
      <c r="D579" t="inlineStr">
        <is>
          <t>SÖDERMANLANDS LÄN</t>
        </is>
      </c>
      <c r="E579" t="inlineStr">
        <is>
          <t>NYKÖPING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23638-2021</t>
        </is>
      </c>
      <c r="B580" s="1" t="n">
        <v>44334</v>
      </c>
      <c r="C580" s="1" t="n">
        <v>45189</v>
      </c>
      <c r="D580" t="inlineStr">
        <is>
          <t>SÖDERMANLANDS LÄN</t>
        </is>
      </c>
      <c r="E580" t="inlineStr">
        <is>
          <t>NYKÖPING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23725-2021</t>
        </is>
      </c>
      <c r="B581" s="1" t="n">
        <v>44334</v>
      </c>
      <c r="C581" s="1" t="n">
        <v>45189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Kyrkan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30441-2021</t>
        </is>
      </c>
      <c r="B582" s="1" t="n">
        <v>44336</v>
      </c>
      <c r="C582" s="1" t="n">
        <v>45189</v>
      </c>
      <c r="D582" t="inlineStr">
        <is>
          <t>SÖDERMANLANDS LÄN</t>
        </is>
      </c>
      <c r="E582" t="inlineStr">
        <is>
          <t>NYKÖPING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24539-2021</t>
        </is>
      </c>
      <c r="B583" s="1" t="n">
        <v>44339</v>
      </c>
      <c r="C583" s="1" t="n">
        <v>45189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24545-2021</t>
        </is>
      </c>
      <c r="B584" s="1" t="n">
        <v>44339</v>
      </c>
      <c r="C584" s="1" t="n">
        <v>45189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Övriga Aktiebolag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26984-2021</t>
        </is>
      </c>
      <c r="B585" s="1" t="n">
        <v>44349</v>
      </c>
      <c r="C585" s="1" t="n">
        <v>45189</v>
      </c>
      <c r="D585" t="inlineStr">
        <is>
          <t>SÖDERMANLANDS LÄN</t>
        </is>
      </c>
      <c r="E585" t="inlineStr">
        <is>
          <t>NYKÖPING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27151-2021</t>
        </is>
      </c>
      <c r="B586" s="1" t="n">
        <v>44350</v>
      </c>
      <c r="C586" s="1" t="n">
        <v>45189</v>
      </c>
      <c r="D586" t="inlineStr">
        <is>
          <t>SÖDERMANLANDS LÄN</t>
        </is>
      </c>
      <c r="E586" t="inlineStr">
        <is>
          <t>NYKÖPING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27934-2021</t>
        </is>
      </c>
      <c r="B587" s="1" t="n">
        <v>44354</v>
      </c>
      <c r="C587" s="1" t="n">
        <v>45189</v>
      </c>
      <c r="D587" t="inlineStr">
        <is>
          <t>SÖDERMANLANDS LÄN</t>
        </is>
      </c>
      <c r="E587" t="inlineStr">
        <is>
          <t>NYKÖPING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29052-2021</t>
        </is>
      </c>
      <c r="B588" s="1" t="n">
        <v>44358</v>
      </c>
      <c r="C588" s="1" t="n">
        <v>45189</v>
      </c>
      <c r="D588" t="inlineStr">
        <is>
          <t>SÖDERMANLANDS LÄN</t>
        </is>
      </c>
      <c r="E588" t="inlineStr">
        <is>
          <t>NYKÖPING</t>
        </is>
      </c>
      <c r="G588" t="n">
        <v>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29891-2021</t>
        </is>
      </c>
      <c r="B589" s="1" t="n">
        <v>44362</v>
      </c>
      <c r="C589" s="1" t="n">
        <v>45189</v>
      </c>
      <c r="D589" t="inlineStr">
        <is>
          <t>SÖDERMANLANDS LÄN</t>
        </is>
      </c>
      <c r="E589" t="inlineStr">
        <is>
          <t>NYKÖPING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29893-2021</t>
        </is>
      </c>
      <c r="B590" s="1" t="n">
        <v>44362</v>
      </c>
      <c r="C590" s="1" t="n">
        <v>45189</v>
      </c>
      <c r="D590" t="inlineStr">
        <is>
          <t>SÖDERMANLANDS LÄN</t>
        </is>
      </c>
      <c r="E590" t="inlineStr">
        <is>
          <t>NYKÖPING</t>
        </is>
      </c>
      <c r="G590" t="n">
        <v>10.6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29966-2021</t>
        </is>
      </c>
      <c r="B591" s="1" t="n">
        <v>44363</v>
      </c>
      <c r="C591" s="1" t="n">
        <v>45189</v>
      </c>
      <c r="D591" t="inlineStr">
        <is>
          <t>SÖDERMANLANDS LÄN</t>
        </is>
      </c>
      <c r="E591" t="inlineStr">
        <is>
          <t>NYKÖPING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30171-2021</t>
        </is>
      </c>
      <c r="B592" s="1" t="n">
        <v>44363</v>
      </c>
      <c r="C592" s="1" t="n">
        <v>45189</v>
      </c>
      <c r="D592" t="inlineStr">
        <is>
          <t>SÖDERMANLANDS LÄN</t>
        </is>
      </c>
      <c r="E592" t="inlineStr">
        <is>
          <t>NYKÖPING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30003-2021</t>
        </is>
      </c>
      <c r="B593" s="1" t="n">
        <v>44363</v>
      </c>
      <c r="C593" s="1" t="n">
        <v>45189</v>
      </c>
      <c r="D593" t="inlineStr">
        <is>
          <t>SÖDERMANLANDS LÄN</t>
        </is>
      </c>
      <c r="E593" t="inlineStr">
        <is>
          <t>NYKÖPING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30509-2021</t>
        </is>
      </c>
      <c r="B594" s="1" t="n">
        <v>44364</v>
      </c>
      <c r="C594" s="1" t="n">
        <v>45189</v>
      </c>
      <c r="D594" t="inlineStr">
        <is>
          <t>SÖDERMANLANDS LÄN</t>
        </is>
      </c>
      <c r="E594" t="inlineStr">
        <is>
          <t>NYKÖPING</t>
        </is>
      </c>
      <c r="G594" t="n">
        <v>16.7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30570-2021</t>
        </is>
      </c>
      <c r="B595" s="1" t="n">
        <v>44364</v>
      </c>
      <c r="C595" s="1" t="n">
        <v>45189</v>
      </c>
      <c r="D595" t="inlineStr">
        <is>
          <t>SÖDERMANLANDS LÄN</t>
        </is>
      </c>
      <c r="E595" t="inlineStr">
        <is>
          <t>NYKÖPING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30394-2021</t>
        </is>
      </c>
      <c r="B596" s="1" t="n">
        <v>44364</v>
      </c>
      <c r="C596" s="1" t="n">
        <v>45189</v>
      </c>
      <c r="D596" t="inlineStr">
        <is>
          <t>SÖDERMANLANDS LÄN</t>
        </is>
      </c>
      <c r="E596" t="inlineStr">
        <is>
          <t>NYKÖPING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30415-2021</t>
        </is>
      </c>
      <c r="B597" s="1" t="n">
        <v>44364</v>
      </c>
      <c r="C597" s="1" t="n">
        <v>45189</v>
      </c>
      <c r="D597" t="inlineStr">
        <is>
          <t>SÖDERMANLANDS LÄN</t>
        </is>
      </c>
      <c r="E597" t="inlineStr">
        <is>
          <t>NYKÖPING</t>
        </is>
      </c>
      <c r="G597" t="n">
        <v>19.9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30397-2021</t>
        </is>
      </c>
      <c r="B598" s="1" t="n">
        <v>44364</v>
      </c>
      <c r="C598" s="1" t="n">
        <v>45189</v>
      </c>
      <c r="D598" t="inlineStr">
        <is>
          <t>SÖDERMANLANDS LÄN</t>
        </is>
      </c>
      <c r="E598" t="inlineStr">
        <is>
          <t>NYKÖPING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30423-2021</t>
        </is>
      </c>
      <c r="B599" s="1" t="n">
        <v>44364</v>
      </c>
      <c r="C599" s="1" t="n">
        <v>45189</v>
      </c>
      <c r="D599" t="inlineStr">
        <is>
          <t>SÖDERMANLANDS LÄN</t>
        </is>
      </c>
      <c r="E599" t="inlineStr">
        <is>
          <t>NYKÖPING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32056-2021</t>
        </is>
      </c>
      <c r="B600" s="1" t="n">
        <v>44370</v>
      </c>
      <c r="C600" s="1" t="n">
        <v>45189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Holmen skog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32313-2021</t>
        </is>
      </c>
      <c r="B601" s="1" t="n">
        <v>44371</v>
      </c>
      <c r="C601" s="1" t="n">
        <v>45189</v>
      </c>
      <c r="D601" t="inlineStr">
        <is>
          <t>SÖDERMANLANDS LÄN</t>
        </is>
      </c>
      <c r="E601" t="inlineStr">
        <is>
          <t>NYKÖPING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32551-2021</t>
        </is>
      </c>
      <c r="B602" s="1" t="n">
        <v>44375</v>
      </c>
      <c r="C602" s="1" t="n">
        <v>45189</v>
      </c>
      <c r="D602" t="inlineStr">
        <is>
          <t>SÖDERMANLANDS LÄN</t>
        </is>
      </c>
      <c r="E602" t="inlineStr">
        <is>
          <t>NYKÖPING</t>
        </is>
      </c>
      <c r="F602" t="inlineStr">
        <is>
          <t>Holmen skog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34619-2021</t>
        </is>
      </c>
      <c r="B603" s="1" t="n">
        <v>44379</v>
      </c>
      <c r="C603" s="1" t="n">
        <v>45189</v>
      </c>
      <c r="D603" t="inlineStr">
        <is>
          <t>SÖDERMANLANDS LÄN</t>
        </is>
      </c>
      <c r="E603" t="inlineStr">
        <is>
          <t>NYKÖPING</t>
        </is>
      </c>
      <c r="G603" t="n">
        <v>3.6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34753-2021</t>
        </is>
      </c>
      <c r="B604" s="1" t="n">
        <v>44382</v>
      </c>
      <c r="C604" s="1" t="n">
        <v>45189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34632-2021</t>
        </is>
      </c>
      <c r="B605" s="1" t="n">
        <v>44382</v>
      </c>
      <c r="C605" s="1" t="n">
        <v>45189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Övriga Aktiebolag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34841-2021</t>
        </is>
      </c>
      <c r="B606" s="1" t="n">
        <v>44383</v>
      </c>
      <c r="C606" s="1" t="n">
        <v>45189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Holmen skog AB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35192-2021</t>
        </is>
      </c>
      <c r="B607" s="1" t="n">
        <v>44384</v>
      </c>
      <c r="C607" s="1" t="n">
        <v>45189</v>
      </c>
      <c r="D607" t="inlineStr">
        <is>
          <t>SÖDERMANLANDS LÄN</t>
        </is>
      </c>
      <c r="E607" t="inlineStr">
        <is>
          <t>NYKÖPING</t>
        </is>
      </c>
      <c r="G607" t="n">
        <v>13.1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37223-2021</t>
        </is>
      </c>
      <c r="B608" s="1" t="n">
        <v>44396</v>
      </c>
      <c r="C608" s="1" t="n">
        <v>45189</v>
      </c>
      <c r="D608" t="inlineStr">
        <is>
          <t>SÖDERMANLANDS LÄN</t>
        </is>
      </c>
      <c r="E608" t="inlineStr">
        <is>
          <t>NYKÖPING</t>
        </is>
      </c>
      <c r="G608" t="n">
        <v>1.9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38023-2021</t>
        </is>
      </c>
      <c r="B609" s="1" t="n">
        <v>44404</v>
      </c>
      <c r="C609" s="1" t="n">
        <v>45189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38029-2021</t>
        </is>
      </c>
      <c r="B610" s="1" t="n">
        <v>44404</v>
      </c>
      <c r="C610" s="1" t="n">
        <v>45189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39306-2021</t>
        </is>
      </c>
      <c r="B611" s="1" t="n">
        <v>44413</v>
      </c>
      <c r="C611" s="1" t="n">
        <v>45189</v>
      </c>
      <c r="D611" t="inlineStr">
        <is>
          <t>SÖDERMANLANDS LÄN</t>
        </is>
      </c>
      <c r="E611" t="inlineStr">
        <is>
          <t>NYKÖPING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39539-2021</t>
        </is>
      </c>
      <c r="B612" s="1" t="n">
        <v>44416</v>
      </c>
      <c r="C612" s="1" t="n">
        <v>45189</v>
      </c>
      <c r="D612" t="inlineStr">
        <is>
          <t>SÖDERMANLANDS LÄN</t>
        </is>
      </c>
      <c r="E612" t="inlineStr">
        <is>
          <t>NYKÖPING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39538-2021</t>
        </is>
      </c>
      <c r="B613" s="1" t="n">
        <v>44416</v>
      </c>
      <c r="C613" s="1" t="n">
        <v>45189</v>
      </c>
      <c r="D613" t="inlineStr">
        <is>
          <t>SÖDERMANLANDS LÄN</t>
        </is>
      </c>
      <c r="E613" t="inlineStr">
        <is>
          <t>NYKÖPING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39542-2021</t>
        </is>
      </c>
      <c r="B614" s="1" t="n">
        <v>44416</v>
      </c>
      <c r="C614" s="1" t="n">
        <v>45189</v>
      </c>
      <c r="D614" t="inlineStr">
        <is>
          <t>SÖDERMANLANDS LÄN</t>
        </is>
      </c>
      <c r="E614" t="inlineStr">
        <is>
          <t>NYKÖPING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39540-2021</t>
        </is>
      </c>
      <c r="B615" s="1" t="n">
        <v>44416</v>
      </c>
      <c r="C615" s="1" t="n">
        <v>45189</v>
      </c>
      <c r="D615" t="inlineStr">
        <is>
          <t>SÖDERMANLANDS LÄN</t>
        </is>
      </c>
      <c r="E615" t="inlineStr">
        <is>
          <t>NYKÖPING</t>
        </is>
      </c>
      <c r="G615" t="n">
        <v>4.7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40025-2021</t>
        </is>
      </c>
      <c r="B616" s="1" t="n">
        <v>44418</v>
      </c>
      <c r="C616" s="1" t="n">
        <v>45189</v>
      </c>
      <c r="D616" t="inlineStr">
        <is>
          <t>SÖDERMANLANDS LÄN</t>
        </is>
      </c>
      <c r="E616" t="inlineStr">
        <is>
          <t>NYKÖPING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40291-2021</t>
        </is>
      </c>
      <c r="B617" s="1" t="n">
        <v>44419</v>
      </c>
      <c r="C617" s="1" t="n">
        <v>45189</v>
      </c>
      <c r="D617" t="inlineStr">
        <is>
          <t>SÖDERMANLANDS LÄN</t>
        </is>
      </c>
      <c r="E617" t="inlineStr">
        <is>
          <t>NYKÖPING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40680-2021</t>
        </is>
      </c>
      <c r="B618" s="1" t="n">
        <v>44420</v>
      </c>
      <c r="C618" s="1" t="n">
        <v>45189</v>
      </c>
      <c r="D618" t="inlineStr">
        <is>
          <t>SÖDERMANLANDS LÄN</t>
        </is>
      </c>
      <c r="E618" t="inlineStr">
        <is>
          <t>NYKÖPING</t>
        </is>
      </c>
      <c r="G618" t="n">
        <v>11.1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40685-2021</t>
        </is>
      </c>
      <c r="B619" s="1" t="n">
        <v>44420</v>
      </c>
      <c r="C619" s="1" t="n">
        <v>45189</v>
      </c>
      <c r="D619" t="inlineStr">
        <is>
          <t>SÖDERMANLANDS LÄN</t>
        </is>
      </c>
      <c r="E619" t="inlineStr">
        <is>
          <t>NYKÖPING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40866-2021</t>
        </is>
      </c>
      <c r="B620" s="1" t="n">
        <v>44421</v>
      </c>
      <c r="C620" s="1" t="n">
        <v>45189</v>
      </c>
      <c r="D620" t="inlineStr">
        <is>
          <t>SÖDERMANLANDS LÄN</t>
        </is>
      </c>
      <c r="E620" t="inlineStr">
        <is>
          <t>NYKÖPING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41409-2021</t>
        </is>
      </c>
      <c r="B621" s="1" t="n">
        <v>44424</v>
      </c>
      <c r="C621" s="1" t="n">
        <v>45189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5.4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41437-2021</t>
        </is>
      </c>
      <c r="B622" s="1" t="n">
        <v>44424</v>
      </c>
      <c r="C622" s="1" t="n">
        <v>45189</v>
      </c>
      <c r="D622" t="inlineStr">
        <is>
          <t>SÖDERMANLANDS LÄN</t>
        </is>
      </c>
      <c r="E622" t="inlineStr">
        <is>
          <t>NYKÖPING</t>
        </is>
      </c>
      <c r="G622" t="n">
        <v>9.699999999999999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41721-2021</t>
        </is>
      </c>
      <c r="B623" s="1" t="n">
        <v>44425</v>
      </c>
      <c r="C623" s="1" t="n">
        <v>45189</v>
      </c>
      <c r="D623" t="inlineStr">
        <is>
          <t>SÖDERMANLANDS LÄN</t>
        </is>
      </c>
      <c r="E623" t="inlineStr">
        <is>
          <t>NYKÖPING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41735-2021</t>
        </is>
      </c>
      <c r="B624" s="1" t="n">
        <v>44425</v>
      </c>
      <c r="C624" s="1" t="n">
        <v>45189</v>
      </c>
      <c r="D624" t="inlineStr">
        <is>
          <t>SÖDERMANLANDS LÄN</t>
        </is>
      </c>
      <c r="E624" t="inlineStr">
        <is>
          <t>NYKÖPING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41646-2021</t>
        </is>
      </c>
      <c r="B625" s="1" t="n">
        <v>44425</v>
      </c>
      <c r="C625" s="1" t="n">
        <v>45189</v>
      </c>
      <c r="D625" t="inlineStr">
        <is>
          <t>SÖDERMANLANDS LÄN</t>
        </is>
      </c>
      <c r="E625" t="inlineStr">
        <is>
          <t>NYKÖPING</t>
        </is>
      </c>
      <c r="G625" t="n">
        <v>7.7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41715-2021</t>
        </is>
      </c>
      <c r="B626" s="1" t="n">
        <v>44425</v>
      </c>
      <c r="C626" s="1" t="n">
        <v>45189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41723-2021</t>
        </is>
      </c>
      <c r="B627" s="1" t="n">
        <v>44425</v>
      </c>
      <c r="C627" s="1" t="n">
        <v>45189</v>
      </c>
      <c r="D627" t="inlineStr">
        <is>
          <t>SÖDERMANLANDS LÄN</t>
        </is>
      </c>
      <c r="E627" t="inlineStr">
        <is>
          <t>NYKÖPING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41737-2021</t>
        </is>
      </c>
      <c r="B628" s="1" t="n">
        <v>44425</v>
      </c>
      <c r="C628" s="1" t="n">
        <v>45189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41719-2021</t>
        </is>
      </c>
      <c r="B629" s="1" t="n">
        <v>44425</v>
      </c>
      <c r="C629" s="1" t="n">
        <v>45189</v>
      </c>
      <c r="D629" t="inlineStr">
        <is>
          <t>SÖDERMANLANDS LÄN</t>
        </is>
      </c>
      <c r="E629" t="inlineStr">
        <is>
          <t>NYKÖPING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41748-2021</t>
        </is>
      </c>
      <c r="B630" s="1" t="n">
        <v>44425</v>
      </c>
      <c r="C630" s="1" t="n">
        <v>45189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42417-2021</t>
        </is>
      </c>
      <c r="B631" s="1" t="n">
        <v>44427</v>
      </c>
      <c r="C631" s="1" t="n">
        <v>45189</v>
      </c>
      <c r="D631" t="inlineStr">
        <is>
          <t>SÖDERMANLANDS LÄN</t>
        </is>
      </c>
      <c r="E631" t="inlineStr">
        <is>
          <t>NYKÖPING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42858-2021</t>
        </is>
      </c>
      <c r="B632" s="1" t="n">
        <v>44430</v>
      </c>
      <c r="C632" s="1" t="n">
        <v>45189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42920-2021</t>
        </is>
      </c>
      <c r="B633" s="1" t="n">
        <v>44430</v>
      </c>
      <c r="C633" s="1" t="n">
        <v>45189</v>
      </c>
      <c r="D633" t="inlineStr">
        <is>
          <t>SÖDERMANLANDS LÄN</t>
        </is>
      </c>
      <c r="E633" t="inlineStr">
        <is>
          <t>NYKÖPING</t>
        </is>
      </c>
      <c r="G633" t="n">
        <v>9.199999999999999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42856-2021</t>
        </is>
      </c>
      <c r="B634" s="1" t="n">
        <v>44430</v>
      </c>
      <c r="C634" s="1" t="n">
        <v>45189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42977-2021</t>
        </is>
      </c>
      <c r="B635" s="1" t="n">
        <v>44430</v>
      </c>
      <c r="C635" s="1" t="n">
        <v>45189</v>
      </c>
      <c r="D635" t="inlineStr">
        <is>
          <t>SÖDERMANLANDS LÄN</t>
        </is>
      </c>
      <c r="E635" t="inlineStr">
        <is>
          <t>NYKÖPING</t>
        </is>
      </c>
      <c r="G635" t="n">
        <v>25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42971-2021</t>
        </is>
      </c>
      <c r="B636" s="1" t="n">
        <v>44430</v>
      </c>
      <c r="C636" s="1" t="n">
        <v>45189</v>
      </c>
      <c r="D636" t="inlineStr">
        <is>
          <t>SÖDERMANLANDS LÄN</t>
        </is>
      </c>
      <c r="E636" t="inlineStr">
        <is>
          <t>NYKÖPING</t>
        </is>
      </c>
      <c r="G636" t="n">
        <v>9.4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42966-2021</t>
        </is>
      </c>
      <c r="B637" s="1" t="n">
        <v>44430</v>
      </c>
      <c r="C637" s="1" t="n">
        <v>45189</v>
      </c>
      <c r="D637" t="inlineStr">
        <is>
          <t>SÖDERMANLANDS LÄN</t>
        </is>
      </c>
      <c r="E637" t="inlineStr">
        <is>
          <t>NYKÖPING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42990-2021</t>
        </is>
      </c>
      <c r="B638" s="1" t="n">
        <v>44431</v>
      </c>
      <c r="C638" s="1" t="n">
        <v>45189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42937-2021</t>
        </is>
      </c>
      <c r="B639" s="1" t="n">
        <v>44431</v>
      </c>
      <c r="C639" s="1" t="n">
        <v>45189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Holmen skog AB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43359-2021</t>
        </is>
      </c>
      <c r="B640" s="1" t="n">
        <v>44432</v>
      </c>
      <c r="C640" s="1" t="n">
        <v>45189</v>
      </c>
      <c r="D640" t="inlineStr">
        <is>
          <t>SÖDERMANLANDS LÄN</t>
        </is>
      </c>
      <c r="E640" t="inlineStr">
        <is>
          <t>NYKÖPING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45856-2021</t>
        </is>
      </c>
      <c r="B641" s="1" t="n">
        <v>44433</v>
      </c>
      <c r="C641" s="1" t="n">
        <v>45189</v>
      </c>
      <c r="D641" t="inlineStr">
        <is>
          <t>SÖDERMANLANDS LÄN</t>
        </is>
      </c>
      <c r="E641" t="inlineStr">
        <is>
          <t>NYKÖPING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44533-2021</t>
        </is>
      </c>
      <c r="B642" s="1" t="n">
        <v>44435</v>
      </c>
      <c r="C642" s="1" t="n">
        <v>45189</v>
      </c>
      <c r="D642" t="inlineStr">
        <is>
          <t>SÖDERMANLANDS LÄN</t>
        </is>
      </c>
      <c r="E642" t="inlineStr">
        <is>
          <t>NYKÖPING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44477-2021</t>
        </is>
      </c>
      <c r="B643" s="1" t="n">
        <v>44435</v>
      </c>
      <c r="C643" s="1" t="n">
        <v>45189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Holmen skog AB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44536-2021</t>
        </is>
      </c>
      <c r="B644" s="1" t="n">
        <v>44435</v>
      </c>
      <c r="C644" s="1" t="n">
        <v>45189</v>
      </c>
      <c r="D644" t="inlineStr">
        <is>
          <t>SÖDERMANLANDS LÄN</t>
        </is>
      </c>
      <c r="E644" t="inlineStr">
        <is>
          <t>NYKÖPING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45034-2021</t>
        </is>
      </c>
      <c r="B645" s="1" t="n">
        <v>44438</v>
      </c>
      <c r="C645" s="1" t="n">
        <v>45189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Allmännings- och besparingsskogar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45574-2021</t>
        </is>
      </c>
      <c r="B646" s="1" t="n">
        <v>44440</v>
      </c>
      <c r="C646" s="1" t="n">
        <v>45189</v>
      </c>
      <c r="D646" t="inlineStr">
        <is>
          <t>SÖDERMANLANDS LÄN</t>
        </is>
      </c>
      <c r="E646" t="inlineStr">
        <is>
          <t>NYKÖPING</t>
        </is>
      </c>
      <c r="G646" t="n">
        <v>4.5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45569-2021</t>
        </is>
      </c>
      <c r="B647" s="1" t="n">
        <v>44440</v>
      </c>
      <c r="C647" s="1" t="n">
        <v>45189</v>
      </c>
      <c r="D647" t="inlineStr">
        <is>
          <t>SÖDERMANLANDS LÄN</t>
        </is>
      </c>
      <c r="E647" t="inlineStr">
        <is>
          <t>NYKÖPING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45533-2021</t>
        </is>
      </c>
      <c r="B648" s="1" t="n">
        <v>44440</v>
      </c>
      <c r="C648" s="1" t="n">
        <v>45189</v>
      </c>
      <c r="D648" t="inlineStr">
        <is>
          <t>SÖDERMANLANDS LÄN</t>
        </is>
      </c>
      <c r="E648" t="inlineStr">
        <is>
          <t>NYKÖPING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46574-2021</t>
        </is>
      </c>
      <c r="B649" s="1" t="n">
        <v>44445</v>
      </c>
      <c r="C649" s="1" t="n">
        <v>45189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8.300000000000001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46648-2021</t>
        </is>
      </c>
      <c r="B650" s="1" t="n">
        <v>44445</v>
      </c>
      <c r="C650" s="1" t="n">
        <v>45189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Holmen skog AB</t>
        </is>
      </c>
      <c r="G650" t="n">
        <v>4.4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46575-2021</t>
        </is>
      </c>
      <c r="B651" s="1" t="n">
        <v>44445</v>
      </c>
      <c r="C651" s="1" t="n">
        <v>45189</v>
      </c>
      <c r="D651" t="inlineStr">
        <is>
          <t>SÖDERMANLANDS LÄN</t>
        </is>
      </c>
      <c r="E651" t="inlineStr">
        <is>
          <t>NYKÖPING</t>
        </is>
      </c>
      <c r="G651" t="n">
        <v>19.1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46838-2021</t>
        </is>
      </c>
      <c r="B652" s="1" t="n">
        <v>44446</v>
      </c>
      <c r="C652" s="1" t="n">
        <v>45189</v>
      </c>
      <c r="D652" t="inlineStr">
        <is>
          <t>SÖDERMANLANDS LÄN</t>
        </is>
      </c>
      <c r="E652" t="inlineStr">
        <is>
          <t>NYKÖPING</t>
        </is>
      </c>
      <c r="G652" t="n">
        <v>6.1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46828-2021</t>
        </is>
      </c>
      <c r="B653" s="1" t="n">
        <v>44446</v>
      </c>
      <c r="C653" s="1" t="n">
        <v>45189</v>
      </c>
      <c r="D653" t="inlineStr">
        <is>
          <t>SÖDERMANLANDS LÄN</t>
        </is>
      </c>
      <c r="E653" t="inlineStr">
        <is>
          <t>NYKÖPING</t>
        </is>
      </c>
      <c r="G653" t="n">
        <v>30.2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48459-2021</t>
        </is>
      </c>
      <c r="B654" s="1" t="n">
        <v>44452</v>
      </c>
      <c r="C654" s="1" t="n">
        <v>45189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48819-2021</t>
        </is>
      </c>
      <c r="B655" s="1" t="n">
        <v>44452</v>
      </c>
      <c r="C655" s="1" t="n">
        <v>45189</v>
      </c>
      <c r="D655" t="inlineStr">
        <is>
          <t>SÖDERMANLANDS LÄN</t>
        </is>
      </c>
      <c r="E655" t="inlineStr">
        <is>
          <t>NYKÖPING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49234-2021</t>
        </is>
      </c>
      <c r="B656" s="1" t="n">
        <v>44454</v>
      </c>
      <c r="C656" s="1" t="n">
        <v>45189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Holmen skog AB</t>
        </is>
      </c>
      <c r="G656" t="n">
        <v>4.2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49494-2021</t>
        </is>
      </c>
      <c r="B657" s="1" t="n">
        <v>44454</v>
      </c>
      <c r="C657" s="1" t="n">
        <v>45189</v>
      </c>
      <c r="D657" t="inlineStr">
        <is>
          <t>SÖDERMANLANDS LÄN</t>
        </is>
      </c>
      <c r="E657" t="inlineStr">
        <is>
          <t>NYKÖPING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50156-2021</t>
        </is>
      </c>
      <c r="B658" s="1" t="n">
        <v>44456</v>
      </c>
      <c r="C658" s="1" t="n">
        <v>45189</v>
      </c>
      <c r="D658" t="inlineStr">
        <is>
          <t>SÖDERMANLANDS LÄN</t>
        </is>
      </c>
      <c r="E658" t="inlineStr">
        <is>
          <t>NYKÖPING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52055-2021</t>
        </is>
      </c>
      <c r="B659" s="1" t="n">
        <v>44462</v>
      </c>
      <c r="C659" s="1" t="n">
        <v>45189</v>
      </c>
      <c r="D659" t="inlineStr">
        <is>
          <t>SÖDERMANLANDS LÄN</t>
        </is>
      </c>
      <c r="E659" t="inlineStr">
        <is>
          <t>NYKÖPING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51691-2021</t>
        </is>
      </c>
      <c r="B660" s="1" t="n">
        <v>44462</v>
      </c>
      <c r="C660" s="1" t="n">
        <v>45189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51711-2021</t>
        </is>
      </c>
      <c r="B661" s="1" t="n">
        <v>44462</v>
      </c>
      <c r="C661" s="1" t="n">
        <v>45189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51720-2021</t>
        </is>
      </c>
      <c r="B662" s="1" t="n">
        <v>44462</v>
      </c>
      <c r="C662" s="1" t="n">
        <v>45189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51725-2021</t>
        </is>
      </c>
      <c r="B663" s="1" t="n">
        <v>44462</v>
      </c>
      <c r="C663" s="1" t="n">
        <v>45189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51689-2021</t>
        </is>
      </c>
      <c r="B664" s="1" t="n">
        <v>44462</v>
      </c>
      <c r="C664" s="1" t="n">
        <v>45189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51700-2021</t>
        </is>
      </c>
      <c r="B665" s="1" t="n">
        <v>44462</v>
      </c>
      <c r="C665" s="1" t="n">
        <v>45189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51715-2021</t>
        </is>
      </c>
      <c r="B666" s="1" t="n">
        <v>44462</v>
      </c>
      <c r="C666" s="1" t="n">
        <v>45189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51722-2021</t>
        </is>
      </c>
      <c r="B667" s="1" t="n">
        <v>44462</v>
      </c>
      <c r="C667" s="1" t="n">
        <v>45189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52045-2021</t>
        </is>
      </c>
      <c r="B668" s="1" t="n">
        <v>44463</v>
      </c>
      <c r="C668" s="1" t="n">
        <v>45189</v>
      </c>
      <c r="D668" t="inlineStr">
        <is>
          <t>SÖDERMANLANDS LÄN</t>
        </is>
      </c>
      <c r="E668" t="inlineStr">
        <is>
          <t>NYKÖPING</t>
        </is>
      </c>
      <c r="F668" t="inlineStr">
        <is>
          <t>Sveaskog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53201-2021</t>
        </is>
      </c>
      <c r="B669" s="1" t="n">
        <v>44466</v>
      </c>
      <c r="C669" s="1" t="n">
        <v>45189</v>
      </c>
      <c r="D669" t="inlineStr">
        <is>
          <t>SÖDERMANLANDS LÄN</t>
        </is>
      </c>
      <c r="E669" t="inlineStr">
        <is>
          <t>NYKÖPING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52543-2021</t>
        </is>
      </c>
      <c r="B670" s="1" t="n">
        <v>44466</v>
      </c>
      <c r="C670" s="1" t="n">
        <v>45189</v>
      </c>
      <c r="D670" t="inlineStr">
        <is>
          <t>SÖDERMANLANDS LÄN</t>
        </is>
      </c>
      <c r="E670" t="inlineStr">
        <is>
          <t>NYKÖPING</t>
        </is>
      </c>
      <c r="F670" t="inlineStr">
        <is>
          <t>Holmen skog AB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52535-2021</t>
        </is>
      </c>
      <c r="B671" s="1" t="n">
        <v>44466</v>
      </c>
      <c r="C671" s="1" t="n">
        <v>45189</v>
      </c>
      <c r="D671" t="inlineStr">
        <is>
          <t>SÖDERMANLANDS LÄN</t>
        </is>
      </c>
      <c r="E671" t="inlineStr">
        <is>
          <t>NYKÖPING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52684-2021</t>
        </is>
      </c>
      <c r="B672" s="1" t="n">
        <v>44466</v>
      </c>
      <c r="C672" s="1" t="n">
        <v>45189</v>
      </c>
      <c r="D672" t="inlineStr">
        <is>
          <t>SÖDERMANLANDS LÄN</t>
        </is>
      </c>
      <c r="E672" t="inlineStr">
        <is>
          <t>NYKÖPING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53374-2021</t>
        </is>
      </c>
      <c r="B673" s="1" t="n">
        <v>44468</v>
      </c>
      <c r="C673" s="1" t="n">
        <v>45189</v>
      </c>
      <c r="D673" t="inlineStr">
        <is>
          <t>SÖDERMANLANDS LÄN</t>
        </is>
      </c>
      <c r="E673" t="inlineStr">
        <is>
          <t>NYKÖPING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53920-2021</t>
        </is>
      </c>
      <c r="B674" s="1" t="n">
        <v>44469</v>
      </c>
      <c r="C674" s="1" t="n">
        <v>45189</v>
      </c>
      <c r="D674" t="inlineStr">
        <is>
          <t>SÖDERMANLANDS LÄN</t>
        </is>
      </c>
      <c r="E674" t="inlineStr">
        <is>
          <t>NYKÖPING</t>
        </is>
      </c>
      <c r="G674" t="n">
        <v>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54897-2021</t>
        </is>
      </c>
      <c r="B675" s="1" t="n">
        <v>44474</v>
      </c>
      <c r="C675" s="1" t="n">
        <v>45189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55014-2021</t>
        </is>
      </c>
      <c r="B676" s="1" t="n">
        <v>44474</v>
      </c>
      <c r="C676" s="1" t="n">
        <v>45189</v>
      </c>
      <c r="D676" t="inlineStr">
        <is>
          <t>SÖDERMANLANDS LÄN</t>
        </is>
      </c>
      <c r="E676" t="inlineStr">
        <is>
          <t>NYKÖPING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55272-2021</t>
        </is>
      </c>
      <c r="B677" s="1" t="n">
        <v>44475</v>
      </c>
      <c r="C677" s="1" t="n">
        <v>45189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55304-2021</t>
        </is>
      </c>
      <c r="B678" s="1" t="n">
        <v>44475</v>
      </c>
      <c r="C678" s="1" t="n">
        <v>45189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55310-2021</t>
        </is>
      </c>
      <c r="B679" s="1" t="n">
        <v>44475</v>
      </c>
      <c r="C679" s="1" t="n">
        <v>45189</v>
      </c>
      <c r="D679" t="inlineStr">
        <is>
          <t>SÖDERMANLANDS LÄN</t>
        </is>
      </c>
      <c r="E679" t="inlineStr">
        <is>
          <t>NYKÖPING</t>
        </is>
      </c>
      <c r="F679" t="inlineStr">
        <is>
          <t>Sveaskog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55506-2021</t>
        </is>
      </c>
      <c r="B680" s="1" t="n">
        <v>44475</v>
      </c>
      <c r="C680" s="1" t="n">
        <v>45189</v>
      </c>
      <c r="D680" t="inlineStr">
        <is>
          <t>SÖDERMANLANDS LÄN</t>
        </is>
      </c>
      <c r="E680" t="inlineStr">
        <is>
          <t>NYKÖPING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55497-2021</t>
        </is>
      </c>
      <c r="B681" s="1" t="n">
        <v>44475</v>
      </c>
      <c r="C681" s="1" t="n">
        <v>45189</v>
      </c>
      <c r="D681" t="inlineStr">
        <is>
          <t>SÖDERMANLANDS LÄN</t>
        </is>
      </c>
      <c r="E681" t="inlineStr">
        <is>
          <t>NYKÖPING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55307-2021</t>
        </is>
      </c>
      <c r="B682" s="1" t="n">
        <v>44475</v>
      </c>
      <c r="C682" s="1" t="n">
        <v>45189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Övriga Aktiebolag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55706-2021</t>
        </is>
      </c>
      <c r="B683" s="1" t="n">
        <v>44476</v>
      </c>
      <c r="C683" s="1" t="n">
        <v>45189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55983-2021</t>
        </is>
      </c>
      <c r="B684" s="1" t="n">
        <v>44477</v>
      </c>
      <c r="C684" s="1" t="n">
        <v>45189</v>
      </c>
      <c r="D684" t="inlineStr">
        <is>
          <t>SÖDERMANLANDS LÄN</t>
        </is>
      </c>
      <c r="E684" t="inlineStr">
        <is>
          <t>NYKÖPING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58862-2021</t>
        </is>
      </c>
      <c r="B685" s="1" t="n">
        <v>44489</v>
      </c>
      <c r="C685" s="1" t="n">
        <v>45189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Övriga Aktiebolag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58857-2021</t>
        </is>
      </c>
      <c r="B686" s="1" t="n">
        <v>44489</v>
      </c>
      <c r="C686" s="1" t="n">
        <v>45189</v>
      </c>
      <c r="D686" t="inlineStr">
        <is>
          <t>SÖDERMANLANDS LÄN</t>
        </is>
      </c>
      <c r="E686" t="inlineStr">
        <is>
          <t>NYKÖPING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59613-2021</t>
        </is>
      </c>
      <c r="B687" s="1" t="n">
        <v>44491</v>
      </c>
      <c r="C687" s="1" t="n">
        <v>45189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59620-2021</t>
        </is>
      </c>
      <c r="B688" s="1" t="n">
        <v>44491</v>
      </c>
      <c r="C688" s="1" t="n">
        <v>45189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Övriga Aktiebolag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59592-2021</t>
        </is>
      </c>
      <c r="B689" s="1" t="n">
        <v>44491</v>
      </c>
      <c r="C689" s="1" t="n">
        <v>45189</v>
      </c>
      <c r="D689" t="inlineStr">
        <is>
          <t>SÖDERMANLANDS LÄN</t>
        </is>
      </c>
      <c r="E689" t="inlineStr">
        <is>
          <t>NYKÖPING</t>
        </is>
      </c>
      <c r="F689" t="inlineStr">
        <is>
          <t>Kyrkan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59776-2021</t>
        </is>
      </c>
      <c r="B690" s="1" t="n">
        <v>44494</v>
      </c>
      <c r="C690" s="1" t="n">
        <v>45189</v>
      </c>
      <c r="D690" t="inlineStr">
        <is>
          <t>SÖDERMANLANDS LÄN</t>
        </is>
      </c>
      <c r="E690" t="inlineStr">
        <is>
          <t>NYKÖPING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59733-2021</t>
        </is>
      </c>
      <c r="B691" s="1" t="n">
        <v>44494</v>
      </c>
      <c r="C691" s="1" t="n">
        <v>45189</v>
      </c>
      <c r="D691" t="inlineStr">
        <is>
          <t>SÖDERMANLANDS LÄN</t>
        </is>
      </c>
      <c r="E691" t="inlineStr">
        <is>
          <t>NYKÖPING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60938-2021</t>
        </is>
      </c>
      <c r="B692" s="1" t="n">
        <v>44495</v>
      </c>
      <c r="C692" s="1" t="n">
        <v>45189</v>
      </c>
      <c r="D692" t="inlineStr">
        <is>
          <t>SÖDERMANLANDS LÄN</t>
        </is>
      </c>
      <c r="E692" t="inlineStr">
        <is>
          <t>NYKÖPING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60512-2021</t>
        </is>
      </c>
      <c r="B693" s="1" t="n">
        <v>44496</v>
      </c>
      <c r="C693" s="1" t="n">
        <v>45189</v>
      </c>
      <c r="D693" t="inlineStr">
        <is>
          <t>SÖDERMANLANDS LÄN</t>
        </is>
      </c>
      <c r="E693" t="inlineStr">
        <is>
          <t>NYKÖPING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61007-2021</t>
        </is>
      </c>
      <c r="B694" s="1" t="n">
        <v>44497</v>
      </c>
      <c r="C694" s="1" t="n">
        <v>45189</v>
      </c>
      <c r="D694" t="inlineStr">
        <is>
          <t>SÖDERMANLANDS LÄN</t>
        </is>
      </c>
      <c r="E694" t="inlineStr">
        <is>
          <t>NYKÖPING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61248-2021</t>
        </is>
      </c>
      <c r="B695" s="1" t="n">
        <v>44498</v>
      </c>
      <c r="C695" s="1" t="n">
        <v>45189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62076-2021</t>
        </is>
      </c>
      <c r="B696" s="1" t="n">
        <v>44502</v>
      </c>
      <c r="C696" s="1" t="n">
        <v>45189</v>
      </c>
      <c r="D696" t="inlineStr">
        <is>
          <t>SÖDERMANLANDS LÄN</t>
        </is>
      </c>
      <c r="E696" t="inlineStr">
        <is>
          <t>NYKÖPING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62786-2021</t>
        </is>
      </c>
      <c r="B697" s="1" t="n">
        <v>44504</v>
      </c>
      <c r="C697" s="1" t="n">
        <v>45189</v>
      </c>
      <c r="D697" t="inlineStr">
        <is>
          <t>SÖDERMANLANDS LÄN</t>
        </is>
      </c>
      <c r="E697" t="inlineStr">
        <is>
          <t>NYKÖPING</t>
        </is>
      </c>
      <c r="G697" t="n">
        <v>6.6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63006-2021</t>
        </is>
      </c>
      <c r="B698" s="1" t="n">
        <v>44505</v>
      </c>
      <c r="C698" s="1" t="n">
        <v>45189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Holmen skog AB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63052-2021</t>
        </is>
      </c>
      <c r="B699" s="1" t="n">
        <v>44505</v>
      </c>
      <c r="C699" s="1" t="n">
        <v>45189</v>
      </c>
      <c r="D699" t="inlineStr">
        <is>
          <t>SÖDERMANLANDS LÄN</t>
        </is>
      </c>
      <c r="E699" t="inlineStr">
        <is>
          <t>NYKÖPING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63017-2021</t>
        </is>
      </c>
      <c r="B700" s="1" t="n">
        <v>44505</v>
      </c>
      <c r="C700" s="1" t="n">
        <v>45189</v>
      </c>
      <c r="D700" t="inlineStr">
        <is>
          <t>SÖDERMANLANDS LÄN</t>
        </is>
      </c>
      <c r="E700" t="inlineStr">
        <is>
          <t>NYKÖPING</t>
        </is>
      </c>
      <c r="G700" t="n">
        <v>21.9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63055-2021</t>
        </is>
      </c>
      <c r="B701" s="1" t="n">
        <v>44505</v>
      </c>
      <c r="C701" s="1" t="n">
        <v>45189</v>
      </c>
      <c r="D701" t="inlineStr">
        <is>
          <t>SÖDERMANLANDS LÄN</t>
        </is>
      </c>
      <c r="E701" t="inlineStr">
        <is>
          <t>NYKÖPING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64099-2021</t>
        </is>
      </c>
      <c r="B702" s="1" t="n">
        <v>44509</v>
      </c>
      <c r="C702" s="1" t="n">
        <v>45189</v>
      </c>
      <c r="D702" t="inlineStr">
        <is>
          <t>SÖDERMANLANDS LÄN</t>
        </is>
      </c>
      <c r="E702" t="inlineStr">
        <is>
          <t>NYKÖPING</t>
        </is>
      </c>
      <c r="G702" t="n">
        <v>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64157-2021</t>
        </is>
      </c>
      <c r="B703" s="1" t="n">
        <v>44510</v>
      </c>
      <c r="C703" s="1" t="n">
        <v>45189</v>
      </c>
      <c r="D703" t="inlineStr">
        <is>
          <t>SÖDERMANLANDS LÄN</t>
        </is>
      </c>
      <c r="E703" t="inlineStr">
        <is>
          <t>NYKÖPING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64159-2021</t>
        </is>
      </c>
      <c r="B704" s="1" t="n">
        <v>44510</v>
      </c>
      <c r="C704" s="1" t="n">
        <v>45189</v>
      </c>
      <c r="D704" t="inlineStr">
        <is>
          <t>SÖDERMANLANDS LÄN</t>
        </is>
      </c>
      <c r="E704" t="inlineStr">
        <is>
          <t>NYKÖPING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64162-2021</t>
        </is>
      </c>
      <c r="B705" s="1" t="n">
        <v>44510</v>
      </c>
      <c r="C705" s="1" t="n">
        <v>45189</v>
      </c>
      <c r="D705" t="inlineStr">
        <is>
          <t>SÖDERMANLANDS LÄN</t>
        </is>
      </c>
      <c r="E705" t="inlineStr">
        <is>
          <t>NYKÖPING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64879-2021</t>
        </is>
      </c>
      <c r="B706" s="1" t="n">
        <v>44512</v>
      </c>
      <c r="C706" s="1" t="n">
        <v>45189</v>
      </c>
      <c r="D706" t="inlineStr">
        <is>
          <t>SÖDERMANLANDS LÄN</t>
        </is>
      </c>
      <c r="E706" t="inlineStr">
        <is>
          <t>NYKÖPING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65520-2021</t>
        </is>
      </c>
      <c r="B707" s="1" t="n">
        <v>44516</v>
      </c>
      <c r="C707" s="1" t="n">
        <v>45189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Övriga Aktiebolag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65923-2021</t>
        </is>
      </c>
      <c r="B708" s="1" t="n">
        <v>44517</v>
      </c>
      <c r="C708" s="1" t="n">
        <v>45189</v>
      </c>
      <c r="D708" t="inlineStr">
        <is>
          <t>SÖDERMANLANDS LÄN</t>
        </is>
      </c>
      <c r="E708" t="inlineStr">
        <is>
          <t>NYKÖPING</t>
        </is>
      </c>
      <c r="G708" t="n">
        <v>5.5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66852-2021</t>
        </is>
      </c>
      <c r="B709" s="1" t="n">
        <v>44522</v>
      </c>
      <c r="C709" s="1" t="n">
        <v>45189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66860-2021</t>
        </is>
      </c>
      <c r="B710" s="1" t="n">
        <v>44522</v>
      </c>
      <c r="C710" s="1" t="n">
        <v>45189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Holmen skog AB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66939-2021</t>
        </is>
      </c>
      <c r="B711" s="1" t="n">
        <v>44522</v>
      </c>
      <c r="C711" s="1" t="n">
        <v>45189</v>
      </c>
      <c r="D711" t="inlineStr">
        <is>
          <t>SÖDERMANLANDS LÄN</t>
        </is>
      </c>
      <c r="E711" t="inlineStr">
        <is>
          <t>NYKÖPING</t>
        </is>
      </c>
      <c r="G711" t="n">
        <v>4.4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66975-2021</t>
        </is>
      </c>
      <c r="B712" s="1" t="n">
        <v>44522</v>
      </c>
      <c r="C712" s="1" t="n">
        <v>45189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Holmen skog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67817-2021</t>
        </is>
      </c>
      <c r="B713" s="1" t="n">
        <v>44525</v>
      </c>
      <c r="C713" s="1" t="n">
        <v>45189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Sveaskog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68041-2021</t>
        </is>
      </c>
      <c r="B714" s="1" t="n">
        <v>44525</v>
      </c>
      <c r="C714" s="1" t="n">
        <v>45189</v>
      </c>
      <c r="D714" t="inlineStr">
        <is>
          <t>SÖDERMANLANDS LÄN</t>
        </is>
      </c>
      <c r="E714" t="inlineStr">
        <is>
          <t>NYKÖPING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67802-2021</t>
        </is>
      </c>
      <c r="B715" s="1" t="n">
        <v>44525</v>
      </c>
      <c r="C715" s="1" t="n">
        <v>45189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67823-2021</t>
        </is>
      </c>
      <c r="B716" s="1" t="n">
        <v>44525</v>
      </c>
      <c r="C716" s="1" t="n">
        <v>45189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67805-2021</t>
        </is>
      </c>
      <c r="B717" s="1" t="n">
        <v>44525</v>
      </c>
      <c r="C717" s="1" t="n">
        <v>45189</v>
      </c>
      <c r="D717" t="inlineStr">
        <is>
          <t>SÖDERMANLANDS LÄN</t>
        </is>
      </c>
      <c r="E717" t="inlineStr">
        <is>
          <t>NYKÖPING</t>
        </is>
      </c>
      <c r="F717" t="inlineStr">
        <is>
          <t>Sveaskog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68034-2021</t>
        </is>
      </c>
      <c r="B718" s="1" t="n">
        <v>44525</v>
      </c>
      <c r="C718" s="1" t="n">
        <v>45189</v>
      </c>
      <c r="D718" t="inlineStr">
        <is>
          <t>SÖDERMANLANDS LÄN</t>
        </is>
      </c>
      <c r="E718" t="inlineStr">
        <is>
          <t>NYKÖPING</t>
        </is>
      </c>
      <c r="G718" t="n">
        <v>1.7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68231-2021</t>
        </is>
      </c>
      <c r="B719" s="1" t="n">
        <v>44526</v>
      </c>
      <c r="C719" s="1" t="n">
        <v>45189</v>
      </c>
      <c r="D719" t="inlineStr">
        <is>
          <t>SÖDERMANLANDS LÄN</t>
        </is>
      </c>
      <c r="E719" t="inlineStr">
        <is>
          <t>NYKÖPING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68401-2021</t>
        </is>
      </c>
      <c r="B720" s="1" t="n">
        <v>44529</v>
      </c>
      <c r="C720" s="1" t="n">
        <v>45189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68500-2021</t>
        </is>
      </c>
      <c r="B721" s="1" t="n">
        <v>44529</v>
      </c>
      <c r="C721" s="1" t="n">
        <v>45189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Övriga Aktiebolag</t>
        </is>
      </c>
      <c r="G721" t="n">
        <v>13.1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69252-2021</t>
        </is>
      </c>
      <c r="B722" s="1" t="n">
        <v>44530</v>
      </c>
      <c r="C722" s="1" t="n">
        <v>45189</v>
      </c>
      <c r="D722" t="inlineStr">
        <is>
          <t>SÖDERMANLANDS LÄN</t>
        </is>
      </c>
      <c r="E722" t="inlineStr">
        <is>
          <t>NYKÖPING</t>
        </is>
      </c>
      <c r="G722" t="n">
        <v>6.4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69244-2021</t>
        </is>
      </c>
      <c r="B723" s="1" t="n">
        <v>44530</v>
      </c>
      <c r="C723" s="1" t="n">
        <v>45189</v>
      </c>
      <c r="D723" t="inlineStr">
        <is>
          <t>SÖDERMANLANDS LÄN</t>
        </is>
      </c>
      <c r="E723" t="inlineStr">
        <is>
          <t>NYKÖPING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69255-2021</t>
        </is>
      </c>
      <c r="B724" s="1" t="n">
        <v>44530</v>
      </c>
      <c r="C724" s="1" t="n">
        <v>45189</v>
      </c>
      <c r="D724" t="inlineStr">
        <is>
          <t>SÖDERMANLANDS LÄN</t>
        </is>
      </c>
      <c r="E724" t="inlineStr">
        <is>
          <t>NYKÖPING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69247-2021</t>
        </is>
      </c>
      <c r="B725" s="1" t="n">
        <v>44530</v>
      </c>
      <c r="C725" s="1" t="n">
        <v>45189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69598-2021</t>
        </is>
      </c>
      <c r="B726" s="1" t="n">
        <v>44531</v>
      </c>
      <c r="C726" s="1" t="n">
        <v>45189</v>
      </c>
      <c r="D726" t="inlineStr">
        <is>
          <t>SÖDERMANLANDS LÄN</t>
        </is>
      </c>
      <c r="E726" t="inlineStr">
        <is>
          <t>NYKÖPING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69622-2021</t>
        </is>
      </c>
      <c r="B727" s="1" t="n">
        <v>44531</v>
      </c>
      <c r="C727" s="1" t="n">
        <v>45189</v>
      </c>
      <c r="D727" t="inlineStr">
        <is>
          <t>SÖDERMANLANDS LÄN</t>
        </is>
      </c>
      <c r="E727" t="inlineStr">
        <is>
          <t>NYKÖPING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69618-2021</t>
        </is>
      </c>
      <c r="B728" s="1" t="n">
        <v>44531</v>
      </c>
      <c r="C728" s="1" t="n">
        <v>45189</v>
      </c>
      <c r="D728" t="inlineStr">
        <is>
          <t>SÖDERMANLANDS LÄN</t>
        </is>
      </c>
      <c r="E728" t="inlineStr">
        <is>
          <t>NYKÖPING</t>
        </is>
      </c>
      <c r="G728" t="n">
        <v>10.1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69602-2021</t>
        </is>
      </c>
      <c r="B729" s="1" t="n">
        <v>44531</v>
      </c>
      <c r="C729" s="1" t="n">
        <v>45189</v>
      </c>
      <c r="D729" t="inlineStr">
        <is>
          <t>SÖDERMANLANDS LÄN</t>
        </is>
      </c>
      <c r="E729" t="inlineStr">
        <is>
          <t>NYKÖPING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69612-2021</t>
        </is>
      </c>
      <c r="B730" s="1" t="n">
        <v>44531</v>
      </c>
      <c r="C730" s="1" t="n">
        <v>45189</v>
      </c>
      <c r="D730" t="inlineStr">
        <is>
          <t>SÖDERMANLANDS LÄN</t>
        </is>
      </c>
      <c r="E730" t="inlineStr">
        <is>
          <t>NYKÖPING</t>
        </is>
      </c>
      <c r="G730" t="n">
        <v>9.199999999999999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70791-2021</t>
        </is>
      </c>
      <c r="B731" s="1" t="n">
        <v>44536</v>
      </c>
      <c r="C731" s="1" t="n">
        <v>45189</v>
      </c>
      <c r="D731" t="inlineStr">
        <is>
          <t>SÖDERMANLANDS LÄN</t>
        </is>
      </c>
      <c r="E731" t="inlineStr">
        <is>
          <t>NYKÖPING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70092-2021</t>
        </is>
      </c>
      <c r="B732" s="1" t="n">
        <v>44536</v>
      </c>
      <c r="C732" s="1" t="n">
        <v>45189</v>
      </c>
      <c r="D732" t="inlineStr">
        <is>
          <t>SÖDERMANLANDS LÄN</t>
        </is>
      </c>
      <c r="E732" t="inlineStr">
        <is>
          <t>NYKÖPING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70777-2021</t>
        </is>
      </c>
      <c r="B733" s="1" t="n">
        <v>44536</v>
      </c>
      <c r="C733" s="1" t="n">
        <v>45189</v>
      </c>
      <c r="D733" t="inlineStr">
        <is>
          <t>SÖDERMANLANDS LÄN</t>
        </is>
      </c>
      <c r="E733" t="inlineStr">
        <is>
          <t>NYKÖPING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70749-2021</t>
        </is>
      </c>
      <c r="B734" s="1" t="n">
        <v>44536</v>
      </c>
      <c r="C734" s="1" t="n">
        <v>45189</v>
      </c>
      <c r="D734" t="inlineStr">
        <is>
          <t>SÖDERMANLANDS LÄN</t>
        </is>
      </c>
      <c r="E734" t="inlineStr">
        <is>
          <t>NYKÖPING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70772-2021</t>
        </is>
      </c>
      <c r="B735" s="1" t="n">
        <v>44536</v>
      </c>
      <c r="C735" s="1" t="n">
        <v>45189</v>
      </c>
      <c r="D735" t="inlineStr">
        <is>
          <t>SÖDERMANLANDS LÄN</t>
        </is>
      </c>
      <c r="E735" t="inlineStr">
        <is>
          <t>NYKÖPING</t>
        </is>
      </c>
      <c r="G735" t="n">
        <v>2.3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71103-2021</t>
        </is>
      </c>
      <c r="B736" s="1" t="n">
        <v>44537</v>
      </c>
      <c r="C736" s="1" t="n">
        <v>45189</v>
      </c>
      <c r="D736" t="inlineStr">
        <is>
          <t>SÖDERMANLANDS LÄN</t>
        </is>
      </c>
      <c r="E736" t="inlineStr">
        <is>
          <t>NYKÖPING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71111-2021</t>
        </is>
      </c>
      <c r="B737" s="1" t="n">
        <v>44537</v>
      </c>
      <c r="C737" s="1" t="n">
        <v>45189</v>
      </c>
      <c r="D737" t="inlineStr">
        <is>
          <t>SÖDERMANLANDS LÄN</t>
        </is>
      </c>
      <c r="E737" t="inlineStr">
        <is>
          <t>NYKÖPING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71115-2021</t>
        </is>
      </c>
      <c r="B738" s="1" t="n">
        <v>44537</v>
      </c>
      <c r="C738" s="1" t="n">
        <v>45189</v>
      </c>
      <c r="D738" t="inlineStr">
        <is>
          <t>SÖDERMANLANDS LÄN</t>
        </is>
      </c>
      <c r="E738" t="inlineStr">
        <is>
          <t>NYKÖPING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71107-2021</t>
        </is>
      </c>
      <c r="B739" s="1" t="n">
        <v>44537</v>
      </c>
      <c r="C739" s="1" t="n">
        <v>45189</v>
      </c>
      <c r="D739" t="inlineStr">
        <is>
          <t>SÖDERMANLANDS LÄN</t>
        </is>
      </c>
      <c r="E739" t="inlineStr">
        <is>
          <t>NYKÖPING</t>
        </is>
      </c>
      <c r="G739" t="n">
        <v>6.8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71175-2021</t>
        </is>
      </c>
      <c r="B740" s="1" t="n">
        <v>44539</v>
      </c>
      <c r="C740" s="1" t="n">
        <v>45189</v>
      </c>
      <c r="D740" t="inlineStr">
        <is>
          <t>SÖDERMANLANDS LÄN</t>
        </is>
      </c>
      <c r="E740" t="inlineStr">
        <is>
          <t>NYKÖPING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72117-2021</t>
        </is>
      </c>
      <c r="B741" s="1" t="n">
        <v>44543</v>
      </c>
      <c r="C741" s="1" t="n">
        <v>45189</v>
      </c>
      <c r="D741" t="inlineStr">
        <is>
          <t>SÖDERMANLANDS LÄN</t>
        </is>
      </c>
      <c r="E741" t="inlineStr">
        <is>
          <t>NYKÖPING</t>
        </is>
      </c>
      <c r="G741" t="n">
        <v>14.9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72307-2021</t>
        </is>
      </c>
      <c r="B742" s="1" t="n">
        <v>44544</v>
      </c>
      <c r="C742" s="1" t="n">
        <v>45189</v>
      </c>
      <c r="D742" t="inlineStr">
        <is>
          <t>SÖDERMANLANDS LÄN</t>
        </is>
      </c>
      <c r="E742" t="inlineStr">
        <is>
          <t>NYKÖPING</t>
        </is>
      </c>
      <c r="G742" t="n">
        <v>15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72304-2021</t>
        </is>
      </c>
      <c r="B743" s="1" t="n">
        <v>44544</v>
      </c>
      <c r="C743" s="1" t="n">
        <v>45189</v>
      </c>
      <c r="D743" t="inlineStr">
        <is>
          <t>SÖDERMANLANDS LÄN</t>
        </is>
      </c>
      <c r="E743" t="inlineStr">
        <is>
          <t>NYKÖPING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72554-2021</t>
        </is>
      </c>
      <c r="B744" s="1" t="n">
        <v>44545</v>
      </c>
      <c r="C744" s="1" t="n">
        <v>45189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72679-2021</t>
        </is>
      </c>
      <c r="B745" s="1" t="n">
        <v>44546</v>
      </c>
      <c r="C745" s="1" t="n">
        <v>45189</v>
      </c>
      <c r="D745" t="inlineStr">
        <is>
          <t>SÖDERMANLANDS LÄN</t>
        </is>
      </c>
      <c r="E745" t="inlineStr">
        <is>
          <t>NYKÖPING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72666-2021</t>
        </is>
      </c>
      <c r="B746" s="1" t="n">
        <v>44546</v>
      </c>
      <c r="C746" s="1" t="n">
        <v>45189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73877-2021</t>
        </is>
      </c>
      <c r="B747" s="1" t="n">
        <v>44553</v>
      </c>
      <c r="C747" s="1" t="n">
        <v>45189</v>
      </c>
      <c r="D747" t="inlineStr">
        <is>
          <t>SÖDERMANLANDS LÄN</t>
        </is>
      </c>
      <c r="E747" t="inlineStr">
        <is>
          <t>NYKÖPING</t>
        </is>
      </c>
      <c r="F747" t="inlineStr">
        <is>
          <t>Holmen skog AB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73962-2021</t>
        </is>
      </c>
      <c r="B748" s="1" t="n">
        <v>44553</v>
      </c>
      <c r="C748" s="1" t="n">
        <v>45189</v>
      </c>
      <c r="D748" t="inlineStr">
        <is>
          <t>SÖDERMANLANDS LÄN</t>
        </is>
      </c>
      <c r="E748" t="inlineStr">
        <is>
          <t>NYKÖPING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74404-2021</t>
        </is>
      </c>
      <c r="B749" s="1" t="n">
        <v>44560</v>
      </c>
      <c r="C749" s="1" t="n">
        <v>45189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74496-2021</t>
        </is>
      </c>
      <c r="B750" s="1" t="n">
        <v>44560</v>
      </c>
      <c r="C750" s="1" t="n">
        <v>45189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Kyrkan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1467-2022</t>
        </is>
      </c>
      <c r="B751" s="1" t="n">
        <v>44573</v>
      </c>
      <c r="C751" s="1" t="n">
        <v>45189</v>
      </c>
      <c r="D751" t="inlineStr">
        <is>
          <t>SÖDERMANLANDS LÄN</t>
        </is>
      </c>
      <c r="E751" t="inlineStr">
        <is>
          <t>NYKÖPING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1647-2022</t>
        </is>
      </c>
      <c r="B752" s="1" t="n">
        <v>44574</v>
      </c>
      <c r="C752" s="1" t="n">
        <v>45189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Sveaskog</t>
        </is>
      </c>
      <c r="G752" t="n">
        <v>10.6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2041-2022</t>
        </is>
      </c>
      <c r="B753" s="1" t="n">
        <v>44575</v>
      </c>
      <c r="C753" s="1" t="n">
        <v>45189</v>
      </c>
      <c r="D753" t="inlineStr">
        <is>
          <t>SÖDERMANLANDS LÄN</t>
        </is>
      </c>
      <c r="E753" t="inlineStr">
        <is>
          <t>NYKÖPING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1912-2022</t>
        </is>
      </c>
      <c r="B754" s="1" t="n">
        <v>44575</v>
      </c>
      <c r="C754" s="1" t="n">
        <v>45189</v>
      </c>
      <c r="D754" t="inlineStr">
        <is>
          <t>SÖDERMANLANDS LÄN</t>
        </is>
      </c>
      <c r="E754" t="inlineStr">
        <is>
          <t>NYKÖPING</t>
        </is>
      </c>
      <c r="G754" t="n">
        <v>3.3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1930-2022</t>
        </is>
      </c>
      <c r="B755" s="1" t="n">
        <v>44575</v>
      </c>
      <c r="C755" s="1" t="n">
        <v>45189</v>
      </c>
      <c r="D755" t="inlineStr">
        <is>
          <t>SÖDERMANLANDS LÄN</t>
        </is>
      </c>
      <c r="E755" t="inlineStr">
        <is>
          <t>NYKÖPING</t>
        </is>
      </c>
      <c r="G755" t="n">
        <v>4.5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2225-2022</t>
        </is>
      </c>
      <c r="B756" s="1" t="n">
        <v>44578</v>
      </c>
      <c r="C756" s="1" t="n">
        <v>45189</v>
      </c>
      <c r="D756" t="inlineStr">
        <is>
          <t>SÖDERMANLANDS LÄN</t>
        </is>
      </c>
      <c r="E756" t="inlineStr">
        <is>
          <t>NYKÖPING</t>
        </is>
      </c>
      <c r="G756" t="n">
        <v>3.6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2255-2022</t>
        </is>
      </c>
      <c r="B757" s="1" t="n">
        <v>44578</v>
      </c>
      <c r="C757" s="1" t="n">
        <v>45189</v>
      </c>
      <c r="D757" t="inlineStr">
        <is>
          <t>SÖDERMANLANDS LÄN</t>
        </is>
      </c>
      <c r="E757" t="inlineStr">
        <is>
          <t>NYKÖPING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2256-2022</t>
        </is>
      </c>
      <c r="B758" s="1" t="n">
        <v>44578</v>
      </c>
      <c r="C758" s="1" t="n">
        <v>45189</v>
      </c>
      <c r="D758" t="inlineStr">
        <is>
          <t>SÖDERMANLANDS LÄN</t>
        </is>
      </c>
      <c r="E758" t="inlineStr">
        <is>
          <t>NYKÖPING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2445-2022</t>
        </is>
      </c>
      <c r="B759" s="1" t="n">
        <v>44579</v>
      </c>
      <c r="C759" s="1" t="n">
        <v>45189</v>
      </c>
      <c r="D759" t="inlineStr">
        <is>
          <t>SÖDERMANLANDS LÄN</t>
        </is>
      </c>
      <c r="E759" t="inlineStr">
        <is>
          <t>NYKÖPING</t>
        </is>
      </c>
      <c r="G759" t="n">
        <v>6.7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2507-2022</t>
        </is>
      </c>
      <c r="B760" s="1" t="n">
        <v>44579</v>
      </c>
      <c r="C760" s="1" t="n">
        <v>45189</v>
      </c>
      <c r="D760" t="inlineStr">
        <is>
          <t>SÖDERMANLANDS LÄN</t>
        </is>
      </c>
      <c r="E760" t="inlineStr">
        <is>
          <t>NYKÖPING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2517-2022</t>
        </is>
      </c>
      <c r="B761" s="1" t="n">
        <v>44579</v>
      </c>
      <c r="C761" s="1" t="n">
        <v>45189</v>
      </c>
      <c r="D761" t="inlineStr">
        <is>
          <t>SÖDERMANLANDS LÄN</t>
        </is>
      </c>
      <c r="E761" t="inlineStr">
        <is>
          <t>NYKÖPING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2429-2022</t>
        </is>
      </c>
      <c r="B762" s="1" t="n">
        <v>44579</v>
      </c>
      <c r="C762" s="1" t="n">
        <v>45189</v>
      </c>
      <c r="D762" t="inlineStr">
        <is>
          <t>SÖDERMANLANDS LÄN</t>
        </is>
      </c>
      <c r="E762" t="inlineStr">
        <is>
          <t>NYKÖPING</t>
        </is>
      </c>
      <c r="G762" t="n">
        <v>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2428-2022</t>
        </is>
      </c>
      <c r="B763" s="1" t="n">
        <v>44579</v>
      </c>
      <c r="C763" s="1" t="n">
        <v>45189</v>
      </c>
      <c r="D763" t="inlineStr">
        <is>
          <t>SÖDERMANLANDS LÄN</t>
        </is>
      </c>
      <c r="E763" t="inlineStr">
        <is>
          <t>NYKÖPING</t>
        </is>
      </c>
      <c r="G763" t="n">
        <v>10.8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2510-2022</t>
        </is>
      </c>
      <c r="B764" s="1" t="n">
        <v>44579</v>
      </c>
      <c r="C764" s="1" t="n">
        <v>45189</v>
      </c>
      <c r="D764" t="inlineStr">
        <is>
          <t>SÖDERMANLANDS LÄN</t>
        </is>
      </c>
      <c r="E764" t="inlineStr">
        <is>
          <t>NYKÖPING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2506-2022</t>
        </is>
      </c>
      <c r="B765" s="1" t="n">
        <v>44579</v>
      </c>
      <c r="C765" s="1" t="n">
        <v>45189</v>
      </c>
      <c r="D765" t="inlineStr">
        <is>
          <t>SÖDERMANLANDS LÄN</t>
        </is>
      </c>
      <c r="E765" t="inlineStr">
        <is>
          <t>NYKÖPING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2513-2022</t>
        </is>
      </c>
      <c r="B766" s="1" t="n">
        <v>44579</v>
      </c>
      <c r="C766" s="1" t="n">
        <v>45189</v>
      </c>
      <c r="D766" t="inlineStr">
        <is>
          <t>SÖDERMANLANDS LÄN</t>
        </is>
      </c>
      <c r="E766" t="inlineStr">
        <is>
          <t>NYKÖPING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2939-2022</t>
        </is>
      </c>
      <c r="B767" s="1" t="n">
        <v>44581</v>
      </c>
      <c r="C767" s="1" t="n">
        <v>45189</v>
      </c>
      <c r="D767" t="inlineStr">
        <is>
          <t>SÖDERMANLANDS LÄN</t>
        </is>
      </c>
      <c r="E767" t="inlineStr">
        <is>
          <t>NYKÖPING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2973-2022</t>
        </is>
      </c>
      <c r="B768" s="1" t="n">
        <v>44581</v>
      </c>
      <c r="C768" s="1" t="n">
        <v>45189</v>
      </c>
      <c r="D768" t="inlineStr">
        <is>
          <t>SÖDERMANLANDS LÄN</t>
        </is>
      </c>
      <c r="E768" t="inlineStr">
        <is>
          <t>NYKÖPING</t>
        </is>
      </c>
      <c r="G768" t="n">
        <v>5.5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2947-2022</t>
        </is>
      </c>
      <c r="B769" s="1" t="n">
        <v>44581</v>
      </c>
      <c r="C769" s="1" t="n">
        <v>45189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4903-2022</t>
        </is>
      </c>
      <c r="B770" s="1" t="n">
        <v>44593</v>
      </c>
      <c r="C770" s="1" t="n">
        <v>45189</v>
      </c>
      <c r="D770" t="inlineStr">
        <is>
          <t>SÖDERMANLANDS LÄN</t>
        </is>
      </c>
      <c r="E770" t="inlineStr">
        <is>
          <t>NYKÖPING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7253-2022</t>
        </is>
      </c>
      <c r="B771" s="1" t="n">
        <v>44606</v>
      </c>
      <c r="C771" s="1" t="n">
        <v>45189</v>
      </c>
      <c r="D771" t="inlineStr">
        <is>
          <t>SÖDERMANLANDS LÄN</t>
        </is>
      </c>
      <c r="E771" t="inlineStr">
        <is>
          <t>NYKÖPING</t>
        </is>
      </c>
      <c r="F771" t="inlineStr">
        <is>
          <t>Allmännings- och besparingsskogar</t>
        </is>
      </c>
      <c r="G771" t="n">
        <v>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7887-2022</t>
        </is>
      </c>
      <c r="B772" s="1" t="n">
        <v>44608</v>
      </c>
      <c r="C772" s="1" t="n">
        <v>45189</v>
      </c>
      <c r="D772" t="inlineStr">
        <is>
          <t>SÖDERMANLANDS LÄN</t>
        </is>
      </c>
      <c r="E772" t="inlineStr">
        <is>
          <t>NYKÖPING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8517-2022</t>
        </is>
      </c>
      <c r="B773" s="1" t="n">
        <v>44613</v>
      </c>
      <c r="C773" s="1" t="n">
        <v>45189</v>
      </c>
      <c r="D773" t="inlineStr">
        <is>
          <t>SÖDERMANLANDS LÄN</t>
        </is>
      </c>
      <c r="E773" t="inlineStr">
        <is>
          <t>NYKÖPING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8523-2022</t>
        </is>
      </c>
      <c r="B774" s="1" t="n">
        <v>44613</v>
      </c>
      <c r="C774" s="1" t="n">
        <v>45189</v>
      </c>
      <c r="D774" t="inlineStr">
        <is>
          <t>SÖDERMANLANDS LÄN</t>
        </is>
      </c>
      <c r="E774" t="inlineStr">
        <is>
          <t>NYKÖPING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8532-2022</t>
        </is>
      </c>
      <c r="B775" s="1" t="n">
        <v>44613</v>
      </c>
      <c r="C775" s="1" t="n">
        <v>45189</v>
      </c>
      <c r="D775" t="inlineStr">
        <is>
          <t>SÖDERMANLANDS LÄN</t>
        </is>
      </c>
      <c r="E775" t="inlineStr">
        <is>
          <t>NYKÖPING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8783-2022</t>
        </is>
      </c>
      <c r="B776" s="1" t="n">
        <v>44614</v>
      </c>
      <c r="C776" s="1" t="n">
        <v>45189</v>
      </c>
      <c r="D776" t="inlineStr">
        <is>
          <t>SÖDERMANLANDS LÄN</t>
        </is>
      </c>
      <c r="E776" t="inlineStr">
        <is>
          <t>NYKÖPING</t>
        </is>
      </c>
      <c r="G776" t="n">
        <v>4.9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8781-2022</t>
        </is>
      </c>
      <c r="B777" s="1" t="n">
        <v>44614</v>
      </c>
      <c r="C777" s="1" t="n">
        <v>45189</v>
      </c>
      <c r="D777" t="inlineStr">
        <is>
          <t>SÖDERMANLANDS LÄN</t>
        </is>
      </c>
      <c r="E777" t="inlineStr">
        <is>
          <t>NYKÖPING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8778-2022</t>
        </is>
      </c>
      <c r="B778" s="1" t="n">
        <v>44614</v>
      </c>
      <c r="C778" s="1" t="n">
        <v>45189</v>
      </c>
      <c r="D778" t="inlineStr">
        <is>
          <t>SÖDERMANLANDS LÄN</t>
        </is>
      </c>
      <c r="E778" t="inlineStr">
        <is>
          <t>NYKÖPING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9174-2022</t>
        </is>
      </c>
      <c r="B779" s="1" t="n">
        <v>44615</v>
      </c>
      <c r="C779" s="1" t="n">
        <v>45189</v>
      </c>
      <c r="D779" t="inlineStr">
        <is>
          <t>SÖDERMANLANDS LÄN</t>
        </is>
      </c>
      <c r="E779" t="inlineStr">
        <is>
          <t>NYKÖPING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9842-2022</t>
        </is>
      </c>
      <c r="B780" s="1" t="n">
        <v>44620</v>
      </c>
      <c r="C780" s="1" t="n">
        <v>45189</v>
      </c>
      <c r="D780" t="inlineStr">
        <is>
          <t>SÖDERMANLANDS LÄN</t>
        </is>
      </c>
      <c r="E780" t="inlineStr">
        <is>
          <t>NYKÖPING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10357-2022</t>
        </is>
      </c>
      <c r="B781" s="1" t="n">
        <v>44623</v>
      </c>
      <c r="C781" s="1" t="n">
        <v>45189</v>
      </c>
      <c r="D781" t="inlineStr">
        <is>
          <t>SÖDERMANLANDS LÄN</t>
        </is>
      </c>
      <c r="E781" t="inlineStr">
        <is>
          <t>NYKÖPING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10435-2022</t>
        </is>
      </c>
      <c r="B782" s="1" t="n">
        <v>44623</v>
      </c>
      <c r="C782" s="1" t="n">
        <v>45189</v>
      </c>
      <c r="D782" t="inlineStr">
        <is>
          <t>SÖDERMANLANDS LÄN</t>
        </is>
      </c>
      <c r="E782" t="inlineStr">
        <is>
          <t>NYKÖPING</t>
        </is>
      </c>
      <c r="G782" t="n">
        <v>6.4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10873-2022</t>
        </is>
      </c>
      <c r="B783" s="1" t="n">
        <v>44627</v>
      </c>
      <c r="C783" s="1" t="n">
        <v>45189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Övriga Aktiebolag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11443-2022</t>
        </is>
      </c>
      <c r="B784" s="1" t="n">
        <v>44630</v>
      </c>
      <c r="C784" s="1" t="n">
        <v>45189</v>
      </c>
      <c r="D784" t="inlineStr">
        <is>
          <t>SÖDERMANLANDS LÄN</t>
        </is>
      </c>
      <c r="E784" t="inlineStr">
        <is>
          <t>NYKÖPING</t>
        </is>
      </c>
      <c r="G784" t="n">
        <v>4.6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11728-2022</t>
        </is>
      </c>
      <c r="B785" s="1" t="n">
        <v>44634</v>
      </c>
      <c r="C785" s="1" t="n">
        <v>45189</v>
      </c>
      <c r="D785" t="inlineStr">
        <is>
          <t>SÖDERMANLANDS LÄN</t>
        </is>
      </c>
      <c r="E785" t="inlineStr">
        <is>
          <t>NYKÖPING</t>
        </is>
      </c>
      <c r="G785" t="n">
        <v>11.4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13542-2022</t>
        </is>
      </c>
      <c r="B786" s="1" t="n">
        <v>44648</v>
      </c>
      <c r="C786" s="1" t="n">
        <v>45189</v>
      </c>
      <c r="D786" t="inlineStr">
        <is>
          <t>SÖDERMANLANDS LÄN</t>
        </is>
      </c>
      <c r="E786" t="inlineStr">
        <is>
          <t>NYKÖPING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13559-2022</t>
        </is>
      </c>
      <c r="B787" s="1" t="n">
        <v>44648</v>
      </c>
      <c r="C787" s="1" t="n">
        <v>45189</v>
      </c>
      <c r="D787" t="inlineStr">
        <is>
          <t>SÖDERMANLANDS LÄN</t>
        </is>
      </c>
      <c r="E787" t="inlineStr">
        <is>
          <t>NYKÖPING</t>
        </is>
      </c>
      <c r="G787" t="n">
        <v>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13861-2022</t>
        </is>
      </c>
      <c r="B788" s="1" t="n">
        <v>44649</v>
      </c>
      <c r="C788" s="1" t="n">
        <v>45189</v>
      </c>
      <c r="D788" t="inlineStr">
        <is>
          <t>SÖDERMANLANDS LÄN</t>
        </is>
      </c>
      <c r="E788" t="inlineStr">
        <is>
          <t>NYKÖPING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13858-2022</t>
        </is>
      </c>
      <c r="B789" s="1" t="n">
        <v>44649</v>
      </c>
      <c r="C789" s="1" t="n">
        <v>45189</v>
      </c>
      <c r="D789" t="inlineStr">
        <is>
          <t>SÖDERMANLANDS LÄN</t>
        </is>
      </c>
      <c r="E789" t="inlineStr">
        <is>
          <t>NYKÖPING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13963-2022</t>
        </is>
      </c>
      <c r="B790" s="1" t="n">
        <v>44650</v>
      </c>
      <c r="C790" s="1" t="n">
        <v>45189</v>
      </c>
      <c r="D790" t="inlineStr">
        <is>
          <t>SÖDERMANLANDS LÄN</t>
        </is>
      </c>
      <c r="E790" t="inlineStr">
        <is>
          <t>NYKÖPING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14370-2022</t>
        </is>
      </c>
      <c r="B791" s="1" t="n">
        <v>44652</v>
      </c>
      <c r="C791" s="1" t="n">
        <v>45189</v>
      </c>
      <c r="D791" t="inlineStr">
        <is>
          <t>SÖDERMANLANDS LÄN</t>
        </is>
      </c>
      <c r="E791" t="inlineStr">
        <is>
          <t>NYKÖPING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14828-2022</t>
        </is>
      </c>
      <c r="B792" s="1" t="n">
        <v>44656</v>
      </c>
      <c r="C792" s="1" t="n">
        <v>45189</v>
      </c>
      <c r="D792" t="inlineStr">
        <is>
          <t>SÖDERMANLANDS LÄN</t>
        </is>
      </c>
      <c r="E792" t="inlineStr">
        <is>
          <t>NYKÖPING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15147-2022</t>
        </is>
      </c>
      <c r="B793" s="1" t="n">
        <v>44658</v>
      </c>
      <c r="C793" s="1" t="n">
        <v>45189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Allmännings- och besparingsskogar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15404-2022</t>
        </is>
      </c>
      <c r="B794" s="1" t="n">
        <v>44659</v>
      </c>
      <c r="C794" s="1" t="n">
        <v>45189</v>
      </c>
      <c r="D794" t="inlineStr">
        <is>
          <t>SÖDERMANLANDS LÄN</t>
        </is>
      </c>
      <c r="E794" t="inlineStr">
        <is>
          <t>NYKÖPING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15391-2022</t>
        </is>
      </c>
      <c r="B795" s="1" t="n">
        <v>44659</v>
      </c>
      <c r="C795" s="1" t="n">
        <v>45189</v>
      </c>
      <c r="D795" t="inlineStr">
        <is>
          <t>SÖDERMANLANDS LÄN</t>
        </is>
      </c>
      <c r="E795" t="inlineStr">
        <is>
          <t>NYKÖPING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15466-2022</t>
        </is>
      </c>
      <c r="B796" s="1" t="n">
        <v>44662</v>
      </c>
      <c r="C796" s="1" t="n">
        <v>45189</v>
      </c>
      <c r="D796" t="inlineStr">
        <is>
          <t>SÖDERMANLANDS LÄN</t>
        </is>
      </c>
      <c r="E796" t="inlineStr">
        <is>
          <t>NYKÖPING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15954-2022</t>
        </is>
      </c>
      <c r="B797" s="1" t="n">
        <v>44664</v>
      </c>
      <c r="C797" s="1" t="n">
        <v>45189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Kyrkan</t>
        </is>
      </c>
      <c r="G797" t="n">
        <v>20.8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16716-2022</t>
        </is>
      </c>
      <c r="B798" s="1" t="n">
        <v>44673</v>
      </c>
      <c r="C798" s="1" t="n">
        <v>45189</v>
      </c>
      <c r="D798" t="inlineStr">
        <is>
          <t>SÖDERMANLANDS LÄN</t>
        </is>
      </c>
      <c r="E798" t="inlineStr">
        <is>
          <t>NYKÖPING</t>
        </is>
      </c>
      <c r="G798" t="n">
        <v>5.1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16906-2022</t>
        </is>
      </c>
      <c r="B799" s="1" t="n">
        <v>44676</v>
      </c>
      <c r="C799" s="1" t="n">
        <v>45189</v>
      </c>
      <c r="D799" t="inlineStr">
        <is>
          <t>SÖDERMANLANDS LÄN</t>
        </is>
      </c>
      <c r="E799" t="inlineStr">
        <is>
          <t>NYKÖPING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17234-2022</t>
        </is>
      </c>
      <c r="B800" s="1" t="n">
        <v>44678</v>
      </c>
      <c r="C800" s="1" t="n">
        <v>45189</v>
      </c>
      <c r="D800" t="inlineStr">
        <is>
          <t>SÖDERMANLANDS LÄN</t>
        </is>
      </c>
      <c r="E800" t="inlineStr">
        <is>
          <t>NYKÖPING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17541-2022</t>
        </is>
      </c>
      <c r="B801" s="1" t="n">
        <v>44679</v>
      </c>
      <c r="C801" s="1" t="n">
        <v>45189</v>
      </c>
      <c r="D801" t="inlineStr">
        <is>
          <t>SÖDERMANLANDS LÄN</t>
        </is>
      </c>
      <c r="E801" t="inlineStr">
        <is>
          <t>NYKÖPING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18216-2022</t>
        </is>
      </c>
      <c r="B802" s="1" t="n">
        <v>44685</v>
      </c>
      <c r="C802" s="1" t="n">
        <v>45189</v>
      </c>
      <c r="D802" t="inlineStr">
        <is>
          <t>SÖDERMANLANDS LÄN</t>
        </is>
      </c>
      <c r="E802" t="inlineStr">
        <is>
          <t>NYKÖPING</t>
        </is>
      </c>
      <c r="F802" t="inlineStr">
        <is>
          <t>Holmen skog AB</t>
        </is>
      </c>
      <c r="G802" t="n">
        <v>4.2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18824-2022</t>
        </is>
      </c>
      <c r="B803" s="1" t="n">
        <v>44690</v>
      </c>
      <c r="C803" s="1" t="n">
        <v>45189</v>
      </c>
      <c r="D803" t="inlineStr">
        <is>
          <t>SÖDERMANLANDS LÄN</t>
        </is>
      </c>
      <c r="E803" t="inlineStr">
        <is>
          <t>NYKÖPING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18821-2022</t>
        </is>
      </c>
      <c r="B804" s="1" t="n">
        <v>44690</v>
      </c>
      <c r="C804" s="1" t="n">
        <v>45189</v>
      </c>
      <c r="D804" t="inlineStr">
        <is>
          <t>SÖDERMANLANDS LÄN</t>
        </is>
      </c>
      <c r="E804" t="inlineStr">
        <is>
          <t>NYKÖPING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18827-2022</t>
        </is>
      </c>
      <c r="B805" s="1" t="n">
        <v>44690</v>
      </c>
      <c r="C805" s="1" t="n">
        <v>45189</v>
      </c>
      <c r="D805" t="inlineStr">
        <is>
          <t>SÖDERMANLANDS LÄN</t>
        </is>
      </c>
      <c r="E805" t="inlineStr">
        <is>
          <t>NYKÖPING</t>
        </is>
      </c>
      <c r="G805" t="n">
        <v>7.9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20131-2022</t>
        </is>
      </c>
      <c r="B806" s="1" t="n">
        <v>44698</v>
      </c>
      <c r="C806" s="1" t="n">
        <v>45189</v>
      </c>
      <c r="D806" t="inlineStr">
        <is>
          <t>SÖDERMANLANDS LÄN</t>
        </is>
      </c>
      <c r="E806" t="inlineStr">
        <is>
          <t>NYKÖPING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20775-2022</t>
        </is>
      </c>
      <c r="B807" s="1" t="n">
        <v>44701</v>
      </c>
      <c r="C807" s="1" t="n">
        <v>45189</v>
      </c>
      <c r="D807" t="inlineStr">
        <is>
          <t>SÖDERMANLANDS LÄN</t>
        </is>
      </c>
      <c r="E807" t="inlineStr">
        <is>
          <t>NYKÖPING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21804-2022</t>
        </is>
      </c>
      <c r="B808" s="1" t="n">
        <v>44708</v>
      </c>
      <c r="C808" s="1" t="n">
        <v>45189</v>
      </c>
      <c r="D808" t="inlineStr">
        <is>
          <t>SÖDERMANLANDS LÄN</t>
        </is>
      </c>
      <c r="E808" t="inlineStr">
        <is>
          <t>NYKÖPING</t>
        </is>
      </c>
      <c r="G808" t="n">
        <v>12.7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22402-2022</t>
        </is>
      </c>
      <c r="B809" s="1" t="n">
        <v>44713</v>
      </c>
      <c r="C809" s="1" t="n">
        <v>45189</v>
      </c>
      <c r="D809" t="inlineStr">
        <is>
          <t>SÖDERMANLANDS LÄN</t>
        </is>
      </c>
      <c r="E809" t="inlineStr">
        <is>
          <t>NYKÖPING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22393-2022</t>
        </is>
      </c>
      <c r="B810" s="1" t="n">
        <v>44713</v>
      </c>
      <c r="C810" s="1" t="n">
        <v>45189</v>
      </c>
      <c r="D810" t="inlineStr">
        <is>
          <t>SÖDERMANLANDS LÄN</t>
        </is>
      </c>
      <c r="E810" t="inlineStr">
        <is>
          <t>NYKÖPING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23107-2022</t>
        </is>
      </c>
      <c r="B811" s="1" t="n">
        <v>44719</v>
      </c>
      <c r="C811" s="1" t="n">
        <v>45189</v>
      </c>
      <c r="D811" t="inlineStr">
        <is>
          <t>SÖDERMANLANDS LÄN</t>
        </is>
      </c>
      <c r="E811" t="inlineStr">
        <is>
          <t>NYKÖPING</t>
        </is>
      </c>
      <c r="G811" t="n">
        <v>0.3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23641-2022</t>
        </is>
      </c>
      <c r="B812" s="1" t="n">
        <v>44721</v>
      </c>
      <c r="C812" s="1" t="n">
        <v>45189</v>
      </c>
      <c r="D812" t="inlineStr">
        <is>
          <t>SÖDERMANLANDS LÄN</t>
        </is>
      </c>
      <c r="E812" t="inlineStr">
        <is>
          <t>NYKÖPING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24285-2022</t>
        </is>
      </c>
      <c r="B813" s="1" t="n">
        <v>44725</v>
      </c>
      <c r="C813" s="1" t="n">
        <v>45189</v>
      </c>
      <c r="D813" t="inlineStr">
        <is>
          <t>SÖDERMANLANDS LÄN</t>
        </is>
      </c>
      <c r="E813" t="inlineStr">
        <is>
          <t>NYKÖPING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24280-2022</t>
        </is>
      </c>
      <c r="B814" s="1" t="n">
        <v>44725</v>
      </c>
      <c r="C814" s="1" t="n">
        <v>45189</v>
      </c>
      <c r="D814" t="inlineStr">
        <is>
          <t>SÖDERMANLANDS LÄN</t>
        </is>
      </c>
      <c r="E814" t="inlineStr">
        <is>
          <t>NYKÖPING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24197-2022</t>
        </is>
      </c>
      <c r="B815" s="1" t="n">
        <v>44725</v>
      </c>
      <c r="C815" s="1" t="n">
        <v>45189</v>
      </c>
      <c r="D815" t="inlineStr">
        <is>
          <t>SÖDERMANLANDS LÄN</t>
        </is>
      </c>
      <c r="E815" t="inlineStr">
        <is>
          <t>NYKÖPING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24609-2022</t>
        </is>
      </c>
      <c r="B816" s="1" t="n">
        <v>44727</v>
      </c>
      <c r="C816" s="1" t="n">
        <v>45189</v>
      </c>
      <c r="D816" t="inlineStr">
        <is>
          <t>SÖDERMANLANDS LÄN</t>
        </is>
      </c>
      <c r="E816" t="inlineStr">
        <is>
          <t>NYKÖPING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24631-2022</t>
        </is>
      </c>
      <c r="B817" s="1" t="n">
        <v>44727</v>
      </c>
      <c r="C817" s="1" t="n">
        <v>45189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25128-2022</t>
        </is>
      </c>
      <c r="B818" s="1" t="n">
        <v>44729</v>
      </c>
      <c r="C818" s="1" t="n">
        <v>45189</v>
      </c>
      <c r="D818" t="inlineStr">
        <is>
          <t>SÖDERMANLANDS LÄN</t>
        </is>
      </c>
      <c r="E818" t="inlineStr">
        <is>
          <t>NYKÖPING</t>
        </is>
      </c>
      <c r="G818" t="n">
        <v>5.1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25130-2022</t>
        </is>
      </c>
      <c r="B819" s="1" t="n">
        <v>44729</v>
      </c>
      <c r="C819" s="1" t="n">
        <v>45189</v>
      </c>
      <c r="D819" t="inlineStr">
        <is>
          <t>SÖDERMANLANDS LÄN</t>
        </is>
      </c>
      <c r="E819" t="inlineStr">
        <is>
          <t>NYKÖPING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25183-2022</t>
        </is>
      </c>
      <c r="B820" s="1" t="n">
        <v>44729</v>
      </c>
      <c r="C820" s="1" t="n">
        <v>45189</v>
      </c>
      <c r="D820" t="inlineStr">
        <is>
          <t>SÖDERMANLANDS LÄN</t>
        </is>
      </c>
      <c r="E820" t="inlineStr">
        <is>
          <t>NYKÖPING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25493-2022</t>
        </is>
      </c>
      <c r="B821" s="1" t="n">
        <v>44732</v>
      </c>
      <c r="C821" s="1" t="n">
        <v>45189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Övriga Aktiebolag</t>
        </is>
      </c>
      <c r="G821" t="n">
        <v>8.300000000000001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25948-2022</t>
        </is>
      </c>
      <c r="B822" s="1" t="n">
        <v>44734</v>
      </c>
      <c r="C822" s="1" t="n">
        <v>45189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28503-2022</t>
        </is>
      </c>
      <c r="B823" s="1" t="n">
        <v>44747</v>
      </c>
      <c r="C823" s="1" t="n">
        <v>45189</v>
      </c>
      <c r="D823" t="inlineStr">
        <is>
          <t>SÖDERMANLANDS LÄN</t>
        </is>
      </c>
      <c r="E823" t="inlineStr">
        <is>
          <t>NYKÖPING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28511-2022</t>
        </is>
      </c>
      <c r="B824" s="1" t="n">
        <v>44748</v>
      </c>
      <c r="C824" s="1" t="n">
        <v>45189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28636-2022</t>
        </is>
      </c>
      <c r="B825" s="1" t="n">
        <v>44748</v>
      </c>
      <c r="C825" s="1" t="n">
        <v>45189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29499-2022</t>
        </is>
      </c>
      <c r="B826" s="1" t="n">
        <v>44753</v>
      </c>
      <c r="C826" s="1" t="n">
        <v>45189</v>
      </c>
      <c r="D826" t="inlineStr">
        <is>
          <t>SÖDERMANLANDS LÄN</t>
        </is>
      </c>
      <c r="E826" t="inlineStr">
        <is>
          <t>NYKÖPING</t>
        </is>
      </c>
      <c r="F826" t="inlineStr">
        <is>
          <t>Kyrkan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29610-2022</t>
        </is>
      </c>
      <c r="B827" s="1" t="n">
        <v>44754</v>
      </c>
      <c r="C827" s="1" t="n">
        <v>45189</v>
      </c>
      <c r="D827" t="inlineStr">
        <is>
          <t>SÖDERMANLANDS LÄN</t>
        </is>
      </c>
      <c r="E827" t="inlineStr">
        <is>
          <t>NYKÖPING</t>
        </is>
      </c>
      <c r="G827" t="n">
        <v>1.5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29631-2022</t>
        </is>
      </c>
      <c r="B828" s="1" t="n">
        <v>44754</v>
      </c>
      <c r="C828" s="1" t="n">
        <v>45189</v>
      </c>
      <c r="D828" t="inlineStr">
        <is>
          <t>SÖDERMANLANDS LÄN</t>
        </is>
      </c>
      <c r="E828" t="inlineStr">
        <is>
          <t>NYKÖPING</t>
        </is>
      </c>
      <c r="F828" t="inlineStr">
        <is>
          <t>Holmen skog AB</t>
        </is>
      </c>
      <c r="G828" t="n">
        <v>2.4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29766-2022</t>
        </is>
      </c>
      <c r="B829" s="1" t="n">
        <v>44755</v>
      </c>
      <c r="C829" s="1" t="n">
        <v>45189</v>
      </c>
      <c r="D829" t="inlineStr">
        <is>
          <t>SÖDERMANLANDS LÄN</t>
        </is>
      </c>
      <c r="E829" t="inlineStr">
        <is>
          <t>NYKÖPING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30167-2022</t>
        </is>
      </c>
      <c r="B830" s="1" t="n">
        <v>44757</v>
      </c>
      <c r="C830" s="1" t="n">
        <v>45189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Kommuner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30198-2022</t>
        </is>
      </c>
      <c r="B831" s="1" t="n">
        <v>44757</v>
      </c>
      <c r="C831" s="1" t="n">
        <v>45189</v>
      </c>
      <c r="D831" t="inlineStr">
        <is>
          <t>SÖDERMANLANDS LÄN</t>
        </is>
      </c>
      <c r="E831" t="inlineStr">
        <is>
          <t>NYKÖPING</t>
        </is>
      </c>
      <c r="F831" t="inlineStr">
        <is>
          <t>Holmen skog AB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30471-2022</t>
        </is>
      </c>
      <c r="B832" s="1" t="n">
        <v>44761</v>
      </c>
      <c r="C832" s="1" t="n">
        <v>45189</v>
      </c>
      <c r="D832" t="inlineStr">
        <is>
          <t>SÖDERMANLANDS LÄN</t>
        </is>
      </c>
      <c r="E832" t="inlineStr">
        <is>
          <t>NYKÖPING</t>
        </is>
      </c>
      <c r="G832" t="n">
        <v>10.1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30859-2022</t>
        </is>
      </c>
      <c r="B833" s="1" t="n">
        <v>44767</v>
      </c>
      <c r="C833" s="1" t="n">
        <v>45189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30840-2022</t>
        </is>
      </c>
      <c r="B834" s="1" t="n">
        <v>44767</v>
      </c>
      <c r="C834" s="1" t="n">
        <v>45189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30865-2022</t>
        </is>
      </c>
      <c r="B835" s="1" t="n">
        <v>44767</v>
      </c>
      <c r="C835" s="1" t="n">
        <v>45189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31401-2022</t>
        </is>
      </c>
      <c r="B836" s="1" t="n">
        <v>44774</v>
      </c>
      <c r="C836" s="1" t="n">
        <v>45189</v>
      </c>
      <c r="D836" t="inlineStr">
        <is>
          <t>SÖDERMANLANDS LÄN</t>
        </is>
      </c>
      <c r="E836" t="inlineStr">
        <is>
          <t>NYKÖPING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31392-2022</t>
        </is>
      </c>
      <c r="B837" s="1" t="n">
        <v>44774</v>
      </c>
      <c r="C837" s="1" t="n">
        <v>45189</v>
      </c>
      <c r="D837" t="inlineStr">
        <is>
          <t>SÖDERMANLANDS LÄN</t>
        </is>
      </c>
      <c r="E837" t="inlineStr">
        <is>
          <t>NYKÖPING</t>
        </is>
      </c>
      <c r="G837" t="n">
        <v>4.7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31422-2022</t>
        </is>
      </c>
      <c r="B838" s="1" t="n">
        <v>44774</v>
      </c>
      <c r="C838" s="1" t="n">
        <v>45189</v>
      </c>
      <c r="D838" t="inlineStr">
        <is>
          <t>SÖDERMANLANDS LÄN</t>
        </is>
      </c>
      <c r="E838" t="inlineStr">
        <is>
          <t>NYKÖPING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31398-2022</t>
        </is>
      </c>
      <c r="B839" s="1" t="n">
        <v>44774</v>
      </c>
      <c r="C839" s="1" t="n">
        <v>45189</v>
      </c>
      <c r="D839" t="inlineStr">
        <is>
          <t>SÖDERMANLANDS LÄN</t>
        </is>
      </c>
      <c r="E839" t="inlineStr">
        <is>
          <t>NYKÖPING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31424-2022</t>
        </is>
      </c>
      <c r="B840" s="1" t="n">
        <v>44774</v>
      </c>
      <c r="C840" s="1" t="n">
        <v>45189</v>
      </c>
      <c r="D840" t="inlineStr">
        <is>
          <t>SÖDERMANLANDS LÄN</t>
        </is>
      </c>
      <c r="E840" t="inlineStr">
        <is>
          <t>NYKÖPING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31538-2022</t>
        </is>
      </c>
      <c r="B841" s="1" t="n">
        <v>44775</v>
      </c>
      <c r="C841" s="1" t="n">
        <v>45189</v>
      </c>
      <c r="D841" t="inlineStr">
        <is>
          <t>SÖDERMANLANDS LÄN</t>
        </is>
      </c>
      <c r="E841" t="inlineStr">
        <is>
          <t>NYKÖPING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31833-2022</t>
        </is>
      </c>
      <c r="B842" s="1" t="n">
        <v>44776</v>
      </c>
      <c r="C842" s="1" t="n">
        <v>45189</v>
      </c>
      <c r="D842" t="inlineStr">
        <is>
          <t>SÖDERMANLANDS LÄN</t>
        </is>
      </c>
      <c r="E842" t="inlineStr">
        <is>
          <t>NYKÖPING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32671-2022</t>
        </is>
      </c>
      <c r="B843" s="1" t="n">
        <v>44783</v>
      </c>
      <c r="C843" s="1" t="n">
        <v>45189</v>
      </c>
      <c r="D843" t="inlineStr">
        <is>
          <t>SÖDERMANLANDS LÄN</t>
        </is>
      </c>
      <c r="E843" t="inlineStr">
        <is>
          <t>NYKÖPING</t>
        </is>
      </c>
      <c r="F843" t="inlineStr">
        <is>
          <t>Holmen skog AB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32594-2022</t>
        </is>
      </c>
      <c r="B844" s="1" t="n">
        <v>44783</v>
      </c>
      <c r="C844" s="1" t="n">
        <v>45189</v>
      </c>
      <c r="D844" t="inlineStr">
        <is>
          <t>SÖDERMANLANDS LÄN</t>
        </is>
      </c>
      <c r="E844" t="inlineStr">
        <is>
          <t>NYKÖPING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32719-2022</t>
        </is>
      </c>
      <c r="B845" s="1" t="n">
        <v>44783</v>
      </c>
      <c r="C845" s="1" t="n">
        <v>45189</v>
      </c>
      <c r="D845" t="inlineStr">
        <is>
          <t>SÖDERMANLANDS LÄN</t>
        </is>
      </c>
      <c r="E845" t="inlineStr">
        <is>
          <t>NYKÖPING</t>
        </is>
      </c>
      <c r="G845" t="n">
        <v>4.2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32715-2022</t>
        </is>
      </c>
      <c r="B846" s="1" t="n">
        <v>44783</v>
      </c>
      <c r="C846" s="1" t="n">
        <v>45189</v>
      </c>
      <c r="D846" t="inlineStr">
        <is>
          <t>SÖDERMANLANDS LÄN</t>
        </is>
      </c>
      <c r="E846" t="inlineStr">
        <is>
          <t>NYKÖPING</t>
        </is>
      </c>
      <c r="F846" t="inlineStr">
        <is>
          <t>Holmen skog AB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32721-2022</t>
        </is>
      </c>
      <c r="B847" s="1" t="n">
        <v>44783</v>
      </c>
      <c r="C847" s="1" t="n">
        <v>45189</v>
      </c>
      <c r="D847" t="inlineStr">
        <is>
          <t>SÖDERMANLANDS LÄN</t>
        </is>
      </c>
      <c r="E847" t="inlineStr">
        <is>
          <t>NYKÖPING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32837-2022</t>
        </is>
      </c>
      <c r="B848" s="1" t="n">
        <v>44784</v>
      </c>
      <c r="C848" s="1" t="n">
        <v>45189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Kommuner</t>
        </is>
      </c>
      <c r="G848" t="n">
        <v>4.8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32928-2022</t>
        </is>
      </c>
      <c r="B849" s="1" t="n">
        <v>44784</v>
      </c>
      <c r="C849" s="1" t="n">
        <v>45189</v>
      </c>
      <c r="D849" t="inlineStr">
        <is>
          <t>SÖDERMANLANDS LÄN</t>
        </is>
      </c>
      <c r="E849" t="inlineStr">
        <is>
          <t>NYKÖPING</t>
        </is>
      </c>
      <c r="G849" t="n">
        <v>0.4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32836-2022</t>
        </is>
      </c>
      <c r="B850" s="1" t="n">
        <v>44784</v>
      </c>
      <c r="C850" s="1" t="n">
        <v>45189</v>
      </c>
      <c r="D850" t="inlineStr">
        <is>
          <t>SÖDERMANLANDS LÄN</t>
        </is>
      </c>
      <c r="E850" t="inlineStr">
        <is>
          <t>NYKÖPING</t>
        </is>
      </c>
      <c r="G850" t="n">
        <v>3.8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32841-2022</t>
        </is>
      </c>
      <c r="B851" s="1" t="n">
        <v>44784</v>
      </c>
      <c r="C851" s="1" t="n">
        <v>45189</v>
      </c>
      <c r="D851" t="inlineStr">
        <is>
          <t>SÖDERMANLANDS LÄN</t>
        </is>
      </c>
      <c r="E851" t="inlineStr">
        <is>
          <t>NYKÖPING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33769-2022</t>
        </is>
      </c>
      <c r="B852" s="1" t="n">
        <v>44789</v>
      </c>
      <c r="C852" s="1" t="n">
        <v>45189</v>
      </c>
      <c r="D852" t="inlineStr">
        <is>
          <t>SÖDERMANLANDS LÄN</t>
        </is>
      </c>
      <c r="E852" t="inlineStr">
        <is>
          <t>NYKÖPING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33763-2022</t>
        </is>
      </c>
      <c r="B853" s="1" t="n">
        <v>44789</v>
      </c>
      <c r="C853" s="1" t="n">
        <v>45189</v>
      </c>
      <c r="D853" t="inlineStr">
        <is>
          <t>SÖDERMANLANDS LÄN</t>
        </is>
      </c>
      <c r="E853" t="inlineStr">
        <is>
          <t>NYKÖPING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33706-2022</t>
        </is>
      </c>
      <c r="B854" s="1" t="n">
        <v>44789</v>
      </c>
      <c r="C854" s="1" t="n">
        <v>45189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Kyrkan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33759-2022</t>
        </is>
      </c>
      <c r="B855" s="1" t="n">
        <v>44789</v>
      </c>
      <c r="C855" s="1" t="n">
        <v>45189</v>
      </c>
      <c r="D855" t="inlineStr">
        <is>
          <t>SÖDERMANLANDS LÄN</t>
        </is>
      </c>
      <c r="E855" t="inlineStr">
        <is>
          <t>NYKÖPING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33875-2022</t>
        </is>
      </c>
      <c r="B856" s="1" t="n">
        <v>44790</v>
      </c>
      <c r="C856" s="1" t="n">
        <v>45189</v>
      </c>
      <c r="D856" t="inlineStr">
        <is>
          <t>SÖDERMANLANDS LÄN</t>
        </is>
      </c>
      <c r="E856" t="inlineStr">
        <is>
          <t>NYKÖPING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35252-2022</t>
        </is>
      </c>
      <c r="B857" s="1" t="n">
        <v>44798</v>
      </c>
      <c r="C857" s="1" t="n">
        <v>45189</v>
      </c>
      <c r="D857" t="inlineStr">
        <is>
          <t>SÖDERMANLANDS LÄN</t>
        </is>
      </c>
      <c r="E857" t="inlineStr">
        <is>
          <t>NYKÖPING</t>
        </is>
      </c>
      <c r="G857" t="n">
        <v>5.8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35532-2022</t>
        </is>
      </c>
      <c r="B858" s="1" t="n">
        <v>44799</v>
      </c>
      <c r="C858" s="1" t="n">
        <v>45189</v>
      </c>
      <c r="D858" t="inlineStr">
        <is>
          <t>SÖDERMANLANDS LÄN</t>
        </is>
      </c>
      <c r="E858" t="inlineStr">
        <is>
          <t>NYKÖPING</t>
        </is>
      </c>
      <c r="G858" t="n">
        <v>3.8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35836-2022</t>
        </is>
      </c>
      <c r="B859" s="1" t="n">
        <v>44800</v>
      </c>
      <c r="C859" s="1" t="n">
        <v>45189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35824-2022</t>
        </is>
      </c>
      <c r="B860" s="1" t="n">
        <v>44800</v>
      </c>
      <c r="C860" s="1" t="n">
        <v>45189</v>
      </c>
      <c r="D860" t="inlineStr">
        <is>
          <t>SÖDERMANLANDS LÄN</t>
        </is>
      </c>
      <c r="E860" t="inlineStr">
        <is>
          <t>NYKÖPING</t>
        </is>
      </c>
      <c r="G860" t="n">
        <v>7.2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35833-2022</t>
        </is>
      </c>
      <c r="B861" s="1" t="n">
        <v>44802</v>
      </c>
      <c r="C861" s="1" t="n">
        <v>45189</v>
      </c>
      <c r="D861" t="inlineStr">
        <is>
          <t>SÖDERMANLANDS LÄN</t>
        </is>
      </c>
      <c r="E861" t="inlineStr">
        <is>
          <t>NYKÖPING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36327-2022</t>
        </is>
      </c>
      <c r="B862" s="1" t="n">
        <v>44803</v>
      </c>
      <c r="C862" s="1" t="n">
        <v>45189</v>
      </c>
      <c r="D862" t="inlineStr">
        <is>
          <t>SÖDERMANLANDS LÄN</t>
        </is>
      </c>
      <c r="E862" t="inlineStr">
        <is>
          <t>NYKÖPING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36634-2022</t>
        </is>
      </c>
      <c r="B863" s="1" t="n">
        <v>44804</v>
      </c>
      <c r="C863" s="1" t="n">
        <v>45189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37911-2022</t>
        </is>
      </c>
      <c r="B864" s="1" t="n">
        <v>44810</v>
      </c>
      <c r="C864" s="1" t="n">
        <v>45189</v>
      </c>
      <c r="D864" t="inlineStr">
        <is>
          <t>SÖDERMANLANDS LÄN</t>
        </is>
      </c>
      <c r="E864" t="inlineStr">
        <is>
          <t>NYKÖPING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38465-2022</t>
        </is>
      </c>
      <c r="B865" s="1" t="n">
        <v>44810</v>
      </c>
      <c r="C865" s="1" t="n">
        <v>45189</v>
      </c>
      <c r="D865" t="inlineStr">
        <is>
          <t>SÖDERMANLANDS LÄN</t>
        </is>
      </c>
      <c r="E865" t="inlineStr">
        <is>
          <t>NYKÖPING</t>
        </is>
      </c>
      <c r="G865" t="n">
        <v>8.6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37912-2022</t>
        </is>
      </c>
      <c r="B866" s="1" t="n">
        <v>44810</v>
      </c>
      <c r="C866" s="1" t="n">
        <v>45189</v>
      </c>
      <c r="D866" t="inlineStr">
        <is>
          <t>SÖDERMANLANDS LÄN</t>
        </is>
      </c>
      <c r="E866" t="inlineStr">
        <is>
          <t>NYKÖPING</t>
        </is>
      </c>
      <c r="G866" t="n">
        <v>3.7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37941-2022</t>
        </is>
      </c>
      <c r="B867" s="1" t="n">
        <v>44810</v>
      </c>
      <c r="C867" s="1" t="n">
        <v>45189</v>
      </c>
      <c r="D867" t="inlineStr">
        <is>
          <t>SÖDERMANLANDS LÄN</t>
        </is>
      </c>
      <c r="E867" t="inlineStr">
        <is>
          <t>NYKÖPING</t>
        </is>
      </c>
      <c r="G867" t="n">
        <v>13.5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37903-2022</t>
        </is>
      </c>
      <c r="B868" s="1" t="n">
        <v>44811</v>
      </c>
      <c r="C868" s="1" t="n">
        <v>45189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37907-2022</t>
        </is>
      </c>
      <c r="B869" s="1" t="n">
        <v>44811</v>
      </c>
      <c r="C869" s="1" t="n">
        <v>45189</v>
      </c>
      <c r="D869" t="inlineStr">
        <is>
          <t>SÖDERMANLANDS LÄN</t>
        </is>
      </c>
      <c r="E869" t="inlineStr">
        <is>
          <t>NYKÖPING</t>
        </is>
      </c>
      <c r="G869" t="n">
        <v>2.5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38166-2022</t>
        </is>
      </c>
      <c r="B870" s="1" t="n">
        <v>44812</v>
      </c>
      <c r="C870" s="1" t="n">
        <v>45189</v>
      </c>
      <c r="D870" t="inlineStr">
        <is>
          <t>SÖDERMANLANDS LÄN</t>
        </is>
      </c>
      <c r="E870" t="inlineStr">
        <is>
          <t>NYKÖPING</t>
        </is>
      </c>
      <c r="G870" t="n">
        <v>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38317-2022</t>
        </is>
      </c>
      <c r="B871" s="1" t="n">
        <v>44812</v>
      </c>
      <c r="C871" s="1" t="n">
        <v>45189</v>
      </c>
      <c r="D871" t="inlineStr">
        <is>
          <t>SÖDERMANLANDS LÄN</t>
        </is>
      </c>
      <c r="E871" t="inlineStr">
        <is>
          <t>NYKÖPING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38410-2022</t>
        </is>
      </c>
      <c r="B872" s="1" t="n">
        <v>44812</v>
      </c>
      <c r="C872" s="1" t="n">
        <v>45189</v>
      </c>
      <c r="D872" t="inlineStr">
        <is>
          <t>SÖDERMANLANDS LÄN</t>
        </is>
      </c>
      <c r="E872" t="inlineStr">
        <is>
          <t>NYKÖPING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38155-2022</t>
        </is>
      </c>
      <c r="B873" s="1" t="n">
        <v>44812</v>
      </c>
      <c r="C873" s="1" t="n">
        <v>45189</v>
      </c>
      <c r="D873" t="inlineStr">
        <is>
          <t>SÖDERMANLANDS LÄN</t>
        </is>
      </c>
      <c r="E873" t="inlineStr">
        <is>
          <t>NYKÖPING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38173-2022</t>
        </is>
      </c>
      <c r="B874" s="1" t="n">
        <v>44812</v>
      </c>
      <c r="C874" s="1" t="n">
        <v>45189</v>
      </c>
      <c r="D874" t="inlineStr">
        <is>
          <t>SÖDERMANLANDS LÄN</t>
        </is>
      </c>
      <c r="E874" t="inlineStr">
        <is>
          <t>NYKÖPING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38368-2022</t>
        </is>
      </c>
      <c r="B875" s="1" t="n">
        <v>44812</v>
      </c>
      <c r="C875" s="1" t="n">
        <v>45189</v>
      </c>
      <c r="D875" t="inlineStr">
        <is>
          <t>SÖDERMANLANDS LÄN</t>
        </is>
      </c>
      <c r="E875" t="inlineStr">
        <is>
          <t>NYKÖPING</t>
        </is>
      </c>
      <c r="G875" t="n">
        <v>2.7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39120-2022</t>
        </is>
      </c>
      <c r="B876" s="1" t="n">
        <v>44817</v>
      </c>
      <c r="C876" s="1" t="n">
        <v>45189</v>
      </c>
      <c r="D876" t="inlineStr">
        <is>
          <t>SÖDERMANLANDS LÄN</t>
        </is>
      </c>
      <c r="E876" t="inlineStr">
        <is>
          <t>NYKÖPING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39756-2022</t>
        </is>
      </c>
      <c r="B877" s="1" t="n">
        <v>44819</v>
      </c>
      <c r="C877" s="1" t="n">
        <v>45189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Holmen skog AB</t>
        </is>
      </c>
      <c r="G877" t="n">
        <v>9.1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40911-2022</t>
        </is>
      </c>
      <c r="B878" s="1" t="n">
        <v>44820</v>
      </c>
      <c r="C878" s="1" t="n">
        <v>45189</v>
      </c>
      <c r="D878" t="inlineStr">
        <is>
          <t>SÖDERMANLANDS LÄN</t>
        </is>
      </c>
      <c r="E878" t="inlineStr">
        <is>
          <t>NYKÖPING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41136-2022</t>
        </is>
      </c>
      <c r="B879" s="1" t="n">
        <v>44825</v>
      </c>
      <c r="C879" s="1" t="n">
        <v>45189</v>
      </c>
      <c r="D879" t="inlineStr">
        <is>
          <t>SÖDERMANLANDS LÄN</t>
        </is>
      </c>
      <c r="E879" t="inlineStr">
        <is>
          <t>NYKÖPING</t>
        </is>
      </c>
      <c r="G879" t="n">
        <v>4.4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41129-2022</t>
        </is>
      </c>
      <c r="B880" s="1" t="n">
        <v>44825</v>
      </c>
      <c r="C880" s="1" t="n">
        <v>45189</v>
      </c>
      <c r="D880" t="inlineStr">
        <is>
          <t>SÖDERMANLANDS LÄN</t>
        </is>
      </c>
      <c r="E880" t="inlineStr">
        <is>
          <t>NYKÖPING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41137-2022</t>
        </is>
      </c>
      <c r="B881" s="1" t="n">
        <v>44825</v>
      </c>
      <c r="C881" s="1" t="n">
        <v>45189</v>
      </c>
      <c r="D881" t="inlineStr">
        <is>
          <t>SÖDERMANLANDS LÄN</t>
        </is>
      </c>
      <c r="E881" t="inlineStr">
        <is>
          <t>NYKÖPING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41139-2022</t>
        </is>
      </c>
      <c r="B882" s="1" t="n">
        <v>44825</v>
      </c>
      <c r="C882" s="1" t="n">
        <v>45189</v>
      </c>
      <c r="D882" t="inlineStr">
        <is>
          <t>SÖDERMANLANDS LÄN</t>
        </is>
      </c>
      <c r="E882" t="inlineStr">
        <is>
          <t>NYKÖPING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41133-2022</t>
        </is>
      </c>
      <c r="B883" s="1" t="n">
        <v>44825</v>
      </c>
      <c r="C883" s="1" t="n">
        <v>45189</v>
      </c>
      <c r="D883" t="inlineStr">
        <is>
          <t>SÖDERMANLANDS LÄN</t>
        </is>
      </c>
      <c r="E883" t="inlineStr">
        <is>
          <t>NYKÖPING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41242-2022</t>
        </is>
      </c>
      <c r="B884" s="1" t="n">
        <v>44826</v>
      </c>
      <c r="C884" s="1" t="n">
        <v>45189</v>
      </c>
      <c r="D884" t="inlineStr">
        <is>
          <t>SÖDERMANLANDS LÄN</t>
        </is>
      </c>
      <c r="E884" t="inlineStr">
        <is>
          <t>NYKÖPING</t>
        </is>
      </c>
      <c r="G884" t="n">
        <v>17.2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42249-2022</t>
        </is>
      </c>
      <c r="B885" s="1" t="n">
        <v>44830</v>
      </c>
      <c r="C885" s="1" t="n">
        <v>45189</v>
      </c>
      <c r="D885" t="inlineStr">
        <is>
          <t>SÖDERMANLANDS LÄN</t>
        </is>
      </c>
      <c r="E885" t="inlineStr">
        <is>
          <t>NYKÖPING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41954-2022</t>
        </is>
      </c>
      <c r="B886" s="1" t="n">
        <v>44830</v>
      </c>
      <c r="C886" s="1" t="n">
        <v>45189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Holmen skog AB</t>
        </is>
      </c>
      <c r="G886" t="n">
        <v>3.6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42092-2022</t>
        </is>
      </c>
      <c r="B887" s="1" t="n">
        <v>44830</v>
      </c>
      <c r="C887" s="1" t="n">
        <v>45189</v>
      </c>
      <c r="D887" t="inlineStr">
        <is>
          <t>SÖDERMANLANDS LÄN</t>
        </is>
      </c>
      <c r="E887" t="inlineStr">
        <is>
          <t>NYKÖPING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42246-2022</t>
        </is>
      </c>
      <c r="B888" s="1" t="n">
        <v>44830</v>
      </c>
      <c r="C888" s="1" t="n">
        <v>45189</v>
      </c>
      <c r="D888" t="inlineStr">
        <is>
          <t>SÖDERMANLANDS LÄN</t>
        </is>
      </c>
      <c r="E888" t="inlineStr">
        <is>
          <t>NYKÖPING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42251-2022</t>
        </is>
      </c>
      <c r="B889" s="1" t="n">
        <v>44830</v>
      </c>
      <c r="C889" s="1" t="n">
        <v>45189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43657-2022</t>
        </is>
      </c>
      <c r="B890" s="1" t="n">
        <v>44837</v>
      </c>
      <c r="C890" s="1" t="n">
        <v>45189</v>
      </c>
      <c r="D890" t="inlineStr">
        <is>
          <t>SÖDERMANLANDS LÄN</t>
        </is>
      </c>
      <c r="E890" t="inlineStr">
        <is>
          <t>NYKÖPING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43498-2022</t>
        </is>
      </c>
      <c r="B891" s="1" t="n">
        <v>44837</v>
      </c>
      <c r="C891" s="1" t="n">
        <v>45189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43581-2022</t>
        </is>
      </c>
      <c r="B892" s="1" t="n">
        <v>44837</v>
      </c>
      <c r="C892" s="1" t="n">
        <v>45189</v>
      </c>
      <c r="D892" t="inlineStr">
        <is>
          <t>SÖDERMANLANDS LÄN</t>
        </is>
      </c>
      <c r="E892" t="inlineStr">
        <is>
          <t>NYKÖPING</t>
        </is>
      </c>
      <c r="G892" t="n">
        <v>7.8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43585-2022</t>
        </is>
      </c>
      <c r="B893" s="1" t="n">
        <v>44837</v>
      </c>
      <c r="C893" s="1" t="n">
        <v>45189</v>
      </c>
      <c r="D893" t="inlineStr">
        <is>
          <t>SÖDERMANLANDS LÄN</t>
        </is>
      </c>
      <c r="E893" t="inlineStr">
        <is>
          <t>NYKÖPING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43653-2022</t>
        </is>
      </c>
      <c r="B894" s="1" t="n">
        <v>44837</v>
      </c>
      <c r="C894" s="1" t="n">
        <v>45189</v>
      </c>
      <c r="D894" t="inlineStr">
        <is>
          <t>SÖDERMANLANDS LÄN</t>
        </is>
      </c>
      <c r="E894" t="inlineStr">
        <is>
          <t>NYKÖPING</t>
        </is>
      </c>
      <c r="G894" t="n">
        <v>4.2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43952-2022</t>
        </is>
      </c>
      <c r="B895" s="1" t="n">
        <v>44838</v>
      </c>
      <c r="C895" s="1" t="n">
        <v>45189</v>
      </c>
      <c r="D895" t="inlineStr">
        <is>
          <t>SÖDERMANLANDS LÄN</t>
        </is>
      </c>
      <c r="E895" t="inlineStr">
        <is>
          <t>NYKÖPING</t>
        </is>
      </c>
      <c r="G895" t="n">
        <v>2.4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44818-2022</t>
        </is>
      </c>
      <c r="B896" s="1" t="n">
        <v>44839</v>
      </c>
      <c r="C896" s="1" t="n">
        <v>45189</v>
      </c>
      <c r="D896" t="inlineStr">
        <is>
          <t>SÖDERMANLANDS LÄN</t>
        </is>
      </c>
      <c r="E896" t="inlineStr">
        <is>
          <t>NYKÖPING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44191-2022</t>
        </is>
      </c>
      <c r="B897" s="1" t="n">
        <v>44839</v>
      </c>
      <c r="C897" s="1" t="n">
        <v>45189</v>
      </c>
      <c r="D897" t="inlineStr">
        <is>
          <t>SÖDERMANLANDS LÄN</t>
        </is>
      </c>
      <c r="E897" t="inlineStr">
        <is>
          <t>NYKÖPING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44820-2022</t>
        </is>
      </c>
      <c r="B898" s="1" t="n">
        <v>44839</v>
      </c>
      <c r="C898" s="1" t="n">
        <v>45189</v>
      </c>
      <c r="D898" t="inlineStr">
        <is>
          <t>SÖDERMANLANDS LÄN</t>
        </is>
      </c>
      <c r="E898" t="inlineStr">
        <is>
          <t>NYKÖPING</t>
        </is>
      </c>
      <c r="G898" t="n">
        <v>4.2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44823-2022</t>
        </is>
      </c>
      <c r="B899" s="1" t="n">
        <v>44839</v>
      </c>
      <c r="C899" s="1" t="n">
        <v>45189</v>
      </c>
      <c r="D899" t="inlineStr">
        <is>
          <t>SÖDERMANLANDS LÄN</t>
        </is>
      </c>
      <c r="E899" t="inlineStr">
        <is>
          <t>NYKÖPING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44908-2022</t>
        </is>
      </c>
      <c r="B900" s="1" t="n">
        <v>44840</v>
      </c>
      <c r="C900" s="1" t="n">
        <v>45189</v>
      </c>
      <c r="D900" t="inlineStr">
        <is>
          <t>SÖDERMANLANDS LÄN</t>
        </is>
      </c>
      <c r="E900" t="inlineStr">
        <is>
          <t>NYKÖPING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45282-2022</t>
        </is>
      </c>
      <c r="B901" s="1" t="n">
        <v>44844</v>
      </c>
      <c r="C901" s="1" t="n">
        <v>45189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46245-2022</t>
        </is>
      </c>
      <c r="B902" s="1" t="n">
        <v>44846</v>
      </c>
      <c r="C902" s="1" t="n">
        <v>45189</v>
      </c>
      <c r="D902" t="inlineStr">
        <is>
          <t>SÖDERMANLANDS LÄN</t>
        </is>
      </c>
      <c r="E902" t="inlineStr">
        <is>
          <t>NYKÖPING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47372-2022</t>
        </is>
      </c>
      <c r="B903" s="1" t="n">
        <v>44853</v>
      </c>
      <c r="C903" s="1" t="n">
        <v>45189</v>
      </c>
      <c r="D903" t="inlineStr">
        <is>
          <t>SÖDERMANLANDS LÄN</t>
        </is>
      </c>
      <c r="E903" t="inlineStr">
        <is>
          <t>NYKÖPING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47370-2022</t>
        </is>
      </c>
      <c r="B904" s="1" t="n">
        <v>44853</v>
      </c>
      <c r="C904" s="1" t="n">
        <v>45189</v>
      </c>
      <c r="D904" t="inlineStr">
        <is>
          <t>SÖDERMANLANDS LÄN</t>
        </is>
      </c>
      <c r="E904" t="inlineStr">
        <is>
          <t>NYKÖPING</t>
        </is>
      </c>
      <c r="G904" t="n">
        <v>3.2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49223-2022</t>
        </is>
      </c>
      <c r="B905" s="1" t="n">
        <v>44858</v>
      </c>
      <c r="C905" s="1" t="n">
        <v>45189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Övriga statliga verk och myndigheter</t>
        </is>
      </c>
      <c r="G905" t="n">
        <v>4.5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48484-2022</t>
        </is>
      </c>
      <c r="B906" s="1" t="n">
        <v>44858</v>
      </c>
      <c r="C906" s="1" t="n">
        <v>45189</v>
      </c>
      <c r="D906" t="inlineStr">
        <is>
          <t>SÖDERMANLANDS LÄN</t>
        </is>
      </c>
      <c r="E906" t="inlineStr">
        <is>
          <t>NYKÖPING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48709-2022</t>
        </is>
      </c>
      <c r="B907" s="1" t="n">
        <v>44859</v>
      </c>
      <c r="C907" s="1" t="n">
        <v>45189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Holmen skog AB</t>
        </is>
      </c>
      <c r="G907" t="n">
        <v>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49763-2022</t>
        </is>
      </c>
      <c r="B908" s="1" t="n">
        <v>44862</v>
      </c>
      <c r="C908" s="1" t="n">
        <v>45189</v>
      </c>
      <c r="D908" t="inlineStr">
        <is>
          <t>SÖDERMANLANDS LÄN</t>
        </is>
      </c>
      <c r="E908" t="inlineStr">
        <is>
          <t>NYKÖPING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49942-2022</t>
        </is>
      </c>
      <c r="B909" s="1" t="n">
        <v>44865</v>
      </c>
      <c r="C909" s="1" t="n">
        <v>45189</v>
      </c>
      <c r="D909" t="inlineStr">
        <is>
          <t>SÖDERMANLANDS LÄN</t>
        </is>
      </c>
      <c r="E909" t="inlineStr">
        <is>
          <t>NYKÖPING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50776-2022</t>
        </is>
      </c>
      <c r="B910" s="1" t="n">
        <v>44867</v>
      </c>
      <c r="C910" s="1" t="n">
        <v>45189</v>
      </c>
      <c r="D910" t="inlineStr">
        <is>
          <t>SÖDERMANLANDS LÄN</t>
        </is>
      </c>
      <c r="E910" t="inlineStr">
        <is>
          <t>NYKÖPING</t>
        </is>
      </c>
      <c r="G910" t="n">
        <v>13.4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50734-2022</t>
        </is>
      </c>
      <c r="B911" s="1" t="n">
        <v>44867</v>
      </c>
      <c r="C911" s="1" t="n">
        <v>45189</v>
      </c>
      <c r="D911" t="inlineStr">
        <is>
          <t>SÖDERMANLANDS LÄN</t>
        </is>
      </c>
      <c r="E911" t="inlineStr">
        <is>
          <t>NYKÖPING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51410-2022</t>
        </is>
      </c>
      <c r="B912" s="1" t="n">
        <v>44869</v>
      </c>
      <c r="C912" s="1" t="n">
        <v>45189</v>
      </c>
      <c r="D912" t="inlineStr">
        <is>
          <t>SÖDERMANLANDS LÄN</t>
        </is>
      </c>
      <c r="E912" t="inlineStr">
        <is>
          <t>NYKÖPING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51530-2022</t>
        </is>
      </c>
      <c r="B913" s="1" t="n">
        <v>44869</v>
      </c>
      <c r="C913" s="1" t="n">
        <v>45189</v>
      </c>
      <c r="D913" t="inlineStr">
        <is>
          <t>SÖDERMANLANDS LÄN</t>
        </is>
      </c>
      <c r="E913" t="inlineStr">
        <is>
          <t>NYKÖPING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51569-2022</t>
        </is>
      </c>
      <c r="B914" s="1" t="n">
        <v>44870</v>
      </c>
      <c r="C914" s="1" t="n">
        <v>45189</v>
      </c>
      <c r="D914" t="inlineStr">
        <is>
          <t>SÖDERMANLANDS LÄN</t>
        </is>
      </c>
      <c r="E914" t="inlineStr">
        <is>
          <t>NYKÖPING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53413-2022</t>
        </is>
      </c>
      <c r="B915" s="1" t="n">
        <v>44879</v>
      </c>
      <c r="C915" s="1" t="n">
        <v>45189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53545-2022</t>
        </is>
      </c>
      <c r="B916" s="1" t="n">
        <v>44879</v>
      </c>
      <c r="C916" s="1" t="n">
        <v>45189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53569-2022</t>
        </is>
      </c>
      <c r="B917" s="1" t="n">
        <v>44879</v>
      </c>
      <c r="C917" s="1" t="n">
        <v>45189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6.3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53378-2022</t>
        </is>
      </c>
      <c r="B918" s="1" t="n">
        <v>44879</v>
      </c>
      <c r="C918" s="1" t="n">
        <v>45189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53573-2022</t>
        </is>
      </c>
      <c r="B919" s="1" t="n">
        <v>44879</v>
      </c>
      <c r="C919" s="1" t="n">
        <v>45189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53760-2022</t>
        </is>
      </c>
      <c r="B920" s="1" t="n">
        <v>44880</v>
      </c>
      <c r="C920" s="1" t="n">
        <v>45189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53800-2022</t>
        </is>
      </c>
      <c r="B921" s="1" t="n">
        <v>44880</v>
      </c>
      <c r="C921" s="1" t="n">
        <v>45189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7.4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53738-2022</t>
        </is>
      </c>
      <c r="B922" s="1" t="n">
        <v>44880</v>
      </c>
      <c r="C922" s="1" t="n">
        <v>45189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53748-2022</t>
        </is>
      </c>
      <c r="B923" s="1" t="n">
        <v>44880</v>
      </c>
      <c r="C923" s="1" t="n">
        <v>45189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Övriga Aktiebolag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54024-2022</t>
        </is>
      </c>
      <c r="B924" s="1" t="n">
        <v>44881</v>
      </c>
      <c r="C924" s="1" t="n">
        <v>45189</v>
      </c>
      <c r="D924" t="inlineStr">
        <is>
          <t>SÖDERMANLANDS LÄN</t>
        </is>
      </c>
      <c r="E924" t="inlineStr">
        <is>
          <t>NYKÖPING</t>
        </is>
      </c>
      <c r="G924" t="n">
        <v>16.2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54556-2022</t>
        </is>
      </c>
      <c r="B925" s="1" t="n">
        <v>44882</v>
      </c>
      <c r="C925" s="1" t="n">
        <v>45189</v>
      </c>
      <c r="D925" t="inlineStr">
        <is>
          <t>SÖDERMANLANDS LÄN</t>
        </is>
      </c>
      <c r="E925" t="inlineStr">
        <is>
          <t>NYKÖPING</t>
        </is>
      </c>
      <c r="G925" t="n">
        <v>3.1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56138-2022</t>
        </is>
      </c>
      <c r="B926" s="1" t="n">
        <v>44889</v>
      </c>
      <c r="C926" s="1" t="n">
        <v>45189</v>
      </c>
      <c r="D926" t="inlineStr">
        <is>
          <t>SÖDERMANLANDS LÄN</t>
        </is>
      </c>
      <c r="E926" t="inlineStr">
        <is>
          <t>NYKÖPING</t>
        </is>
      </c>
      <c r="G926" t="n">
        <v>11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56336-2022</t>
        </is>
      </c>
      <c r="B927" s="1" t="n">
        <v>44890</v>
      </c>
      <c r="C927" s="1" t="n">
        <v>45189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2.2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56345-2022</t>
        </is>
      </c>
      <c r="B928" s="1" t="n">
        <v>44890</v>
      </c>
      <c r="C928" s="1" t="n">
        <v>45189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56268-2022</t>
        </is>
      </c>
      <c r="B929" s="1" t="n">
        <v>44890</v>
      </c>
      <c r="C929" s="1" t="n">
        <v>45189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56317-2022</t>
        </is>
      </c>
      <c r="B930" s="1" t="n">
        <v>44890</v>
      </c>
      <c r="C930" s="1" t="n">
        <v>45189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56483-2022</t>
        </is>
      </c>
      <c r="B931" s="1" t="n">
        <v>44893</v>
      </c>
      <c r="C931" s="1" t="n">
        <v>45189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0.7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56560-2022</t>
        </is>
      </c>
      <c r="B932" s="1" t="n">
        <v>44893</v>
      </c>
      <c r="C932" s="1" t="n">
        <v>45189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Övriga Aktiebolag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56906-2022</t>
        </is>
      </c>
      <c r="B933" s="1" t="n">
        <v>44894</v>
      </c>
      <c r="C933" s="1" t="n">
        <v>45189</v>
      </c>
      <c r="D933" t="inlineStr">
        <is>
          <t>SÖDERMANLANDS LÄN</t>
        </is>
      </c>
      <c r="E933" t="inlineStr">
        <is>
          <t>NYKÖPING</t>
        </is>
      </c>
      <c r="G933" t="n">
        <v>9.9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59159-2022</t>
        </is>
      </c>
      <c r="B934" s="1" t="n">
        <v>44896</v>
      </c>
      <c r="C934" s="1" t="n">
        <v>45189</v>
      </c>
      <c r="D934" t="inlineStr">
        <is>
          <t>SÖDERMANLANDS LÄN</t>
        </is>
      </c>
      <c r="E934" t="inlineStr">
        <is>
          <t>NYKÖPING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59304-2022</t>
        </is>
      </c>
      <c r="B935" s="1" t="n">
        <v>44897</v>
      </c>
      <c r="C935" s="1" t="n">
        <v>45189</v>
      </c>
      <c r="D935" t="inlineStr">
        <is>
          <t>SÖDERMANLANDS LÄN</t>
        </is>
      </c>
      <c r="E935" t="inlineStr">
        <is>
          <t>NYKÖPING</t>
        </is>
      </c>
      <c r="G935" t="n">
        <v>4.8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60518-2022</t>
        </is>
      </c>
      <c r="B936" s="1" t="n">
        <v>44904</v>
      </c>
      <c r="C936" s="1" t="n">
        <v>45189</v>
      </c>
      <c r="D936" t="inlineStr">
        <is>
          <t>SÖDERMANLANDS LÄN</t>
        </is>
      </c>
      <c r="E936" t="inlineStr">
        <is>
          <t>NYKÖPING</t>
        </is>
      </c>
      <c r="G936" t="n">
        <v>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60804-2022</t>
        </is>
      </c>
      <c r="B937" s="1" t="n">
        <v>44907</v>
      </c>
      <c r="C937" s="1" t="n">
        <v>45189</v>
      </c>
      <c r="D937" t="inlineStr">
        <is>
          <t>SÖDERMANLANDS LÄN</t>
        </is>
      </c>
      <c r="E937" t="inlineStr">
        <is>
          <t>NYKÖPING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60218-2022</t>
        </is>
      </c>
      <c r="B938" s="1" t="n">
        <v>44910</v>
      </c>
      <c r="C938" s="1" t="n">
        <v>45189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Sveaskog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60460-2022</t>
        </is>
      </c>
      <c r="B939" s="1" t="n">
        <v>44911</v>
      </c>
      <c r="C939" s="1" t="n">
        <v>45189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1.7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60637-2022</t>
        </is>
      </c>
      <c r="B940" s="1" t="n">
        <v>44911</v>
      </c>
      <c r="C940" s="1" t="n">
        <v>45189</v>
      </c>
      <c r="D940" t="inlineStr">
        <is>
          <t>SÖDERMANLANDS LÄN</t>
        </is>
      </c>
      <c r="E940" t="inlineStr">
        <is>
          <t>NYKÖPING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60634-2022</t>
        </is>
      </c>
      <c r="B941" s="1" t="n">
        <v>44911</v>
      </c>
      <c r="C941" s="1" t="n">
        <v>45189</v>
      </c>
      <c r="D941" t="inlineStr">
        <is>
          <t>SÖDERMANLANDS LÄN</t>
        </is>
      </c>
      <c r="E941" t="inlineStr">
        <is>
          <t>NYKÖPING</t>
        </is>
      </c>
      <c r="G941" t="n">
        <v>1.4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109-2023</t>
        </is>
      </c>
      <c r="B942" s="1" t="n">
        <v>44918</v>
      </c>
      <c r="C942" s="1" t="n">
        <v>45189</v>
      </c>
      <c r="D942" t="inlineStr">
        <is>
          <t>SÖDERMANLANDS LÄN</t>
        </is>
      </c>
      <c r="E942" t="inlineStr">
        <is>
          <t>NYKÖPING</t>
        </is>
      </c>
      <c r="G942" t="n">
        <v>7.8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454-2023</t>
        </is>
      </c>
      <c r="B943" s="1" t="n">
        <v>44929</v>
      </c>
      <c r="C943" s="1" t="n">
        <v>45189</v>
      </c>
      <c r="D943" t="inlineStr">
        <is>
          <t>SÖDERMANLANDS LÄN</t>
        </is>
      </c>
      <c r="E943" t="inlineStr">
        <is>
          <t>NYKÖPING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895-2023</t>
        </is>
      </c>
      <c r="B944" s="1" t="n">
        <v>44931</v>
      </c>
      <c r="C944" s="1" t="n">
        <v>45189</v>
      </c>
      <c r="D944" t="inlineStr">
        <is>
          <t>SÖDERMANLANDS LÄN</t>
        </is>
      </c>
      <c r="E944" t="inlineStr">
        <is>
          <t>NYKÖPING</t>
        </is>
      </c>
      <c r="G944" t="n">
        <v>2.1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926-2023</t>
        </is>
      </c>
      <c r="B945" s="1" t="n">
        <v>44932</v>
      </c>
      <c r="C945" s="1" t="n">
        <v>45189</v>
      </c>
      <c r="D945" t="inlineStr">
        <is>
          <t>SÖDERMANLANDS LÄN</t>
        </is>
      </c>
      <c r="E945" t="inlineStr">
        <is>
          <t>NYKÖPING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929-2023</t>
        </is>
      </c>
      <c r="B946" s="1" t="n">
        <v>44932</v>
      </c>
      <c r="C946" s="1" t="n">
        <v>45189</v>
      </c>
      <c r="D946" t="inlineStr">
        <is>
          <t>SÖDERMANLANDS LÄN</t>
        </is>
      </c>
      <c r="E946" t="inlineStr">
        <is>
          <t>NYKÖPING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1149-2023</t>
        </is>
      </c>
      <c r="B947" s="1" t="n">
        <v>44935</v>
      </c>
      <c r="C947" s="1" t="n">
        <v>45189</v>
      </c>
      <c r="D947" t="inlineStr">
        <is>
          <t>SÖDERMANLANDS LÄN</t>
        </is>
      </c>
      <c r="E947" t="inlineStr">
        <is>
          <t>NYKÖPING</t>
        </is>
      </c>
      <c r="F947" t="inlineStr">
        <is>
          <t>Holmen skog AB</t>
        </is>
      </c>
      <c r="G947" t="n">
        <v>3.5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1395-2023</t>
        </is>
      </c>
      <c r="B948" s="1" t="n">
        <v>44936</v>
      </c>
      <c r="C948" s="1" t="n">
        <v>45189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1392-2023</t>
        </is>
      </c>
      <c r="B949" s="1" t="n">
        <v>44936</v>
      </c>
      <c r="C949" s="1" t="n">
        <v>45189</v>
      </c>
      <c r="D949" t="inlineStr">
        <is>
          <t>SÖDERMANLANDS LÄN</t>
        </is>
      </c>
      <c r="E949" t="inlineStr">
        <is>
          <t>NYKÖPING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1509-2023</t>
        </is>
      </c>
      <c r="B950" s="1" t="n">
        <v>44937</v>
      </c>
      <c r="C950" s="1" t="n">
        <v>45189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6.3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1739-2023</t>
        </is>
      </c>
      <c r="B951" s="1" t="n">
        <v>44938</v>
      </c>
      <c r="C951" s="1" t="n">
        <v>45189</v>
      </c>
      <c r="D951" t="inlineStr">
        <is>
          <t>SÖDERMANLANDS LÄN</t>
        </is>
      </c>
      <c r="E951" t="inlineStr">
        <is>
          <t>NYKÖPING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2009-2023</t>
        </is>
      </c>
      <c r="B952" s="1" t="n">
        <v>44939</v>
      </c>
      <c r="C952" s="1" t="n">
        <v>45189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1916-2023</t>
        </is>
      </c>
      <c r="B953" s="1" t="n">
        <v>44939</v>
      </c>
      <c r="C953" s="1" t="n">
        <v>45189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2368-2023</t>
        </is>
      </c>
      <c r="B954" s="1" t="n">
        <v>44942</v>
      </c>
      <c r="C954" s="1" t="n">
        <v>45189</v>
      </c>
      <c r="D954" t="inlineStr">
        <is>
          <t>SÖDERMANLANDS LÄN</t>
        </is>
      </c>
      <c r="E954" t="inlineStr">
        <is>
          <t>NYKÖPING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2836-2023</t>
        </is>
      </c>
      <c r="B955" s="1" t="n">
        <v>44943</v>
      </c>
      <c r="C955" s="1" t="n">
        <v>45189</v>
      </c>
      <c r="D955" t="inlineStr">
        <is>
          <t>SÖDERMANLANDS LÄN</t>
        </is>
      </c>
      <c r="E955" t="inlineStr">
        <is>
          <t>NYKÖPING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2509-2023</t>
        </is>
      </c>
      <c r="B956" s="1" t="n">
        <v>44943</v>
      </c>
      <c r="C956" s="1" t="n">
        <v>45189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2543-2023</t>
        </is>
      </c>
      <c r="B957" s="1" t="n">
        <v>44943</v>
      </c>
      <c r="C957" s="1" t="n">
        <v>45189</v>
      </c>
      <c r="D957" t="inlineStr">
        <is>
          <t>SÖDERMANLANDS LÄN</t>
        </is>
      </c>
      <c r="E957" t="inlineStr">
        <is>
          <t>NYKÖPING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2568-2023</t>
        </is>
      </c>
      <c r="B958" s="1" t="n">
        <v>44943</v>
      </c>
      <c r="C958" s="1" t="n">
        <v>45189</v>
      </c>
      <c r="D958" t="inlineStr">
        <is>
          <t>SÖDERMANLANDS LÄN</t>
        </is>
      </c>
      <c r="E958" t="inlineStr">
        <is>
          <t>NYKÖPING</t>
        </is>
      </c>
      <c r="G958" t="n">
        <v>4.6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2544-2023</t>
        </is>
      </c>
      <c r="B959" s="1" t="n">
        <v>44943</v>
      </c>
      <c r="C959" s="1" t="n">
        <v>45189</v>
      </c>
      <c r="D959" t="inlineStr">
        <is>
          <t>SÖDERMANLANDS LÄN</t>
        </is>
      </c>
      <c r="E959" t="inlineStr">
        <is>
          <t>NYKÖPING</t>
        </is>
      </c>
      <c r="G959" t="n">
        <v>0.2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2664-2023</t>
        </is>
      </c>
      <c r="B960" s="1" t="n">
        <v>44944</v>
      </c>
      <c r="C960" s="1" t="n">
        <v>45189</v>
      </c>
      <c r="D960" t="inlineStr">
        <is>
          <t>SÖDERMANLANDS LÄN</t>
        </is>
      </c>
      <c r="E960" t="inlineStr">
        <is>
          <t>NYKÖPING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2668-2023</t>
        </is>
      </c>
      <c r="B961" s="1" t="n">
        <v>44944</v>
      </c>
      <c r="C961" s="1" t="n">
        <v>45189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Sveaskog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2687-2023</t>
        </is>
      </c>
      <c r="B962" s="1" t="n">
        <v>44944</v>
      </c>
      <c r="C962" s="1" t="n">
        <v>45189</v>
      </c>
      <c r="D962" t="inlineStr">
        <is>
          <t>SÖDERMANLANDS LÄN</t>
        </is>
      </c>
      <c r="E962" t="inlineStr">
        <is>
          <t>NYKÖPING</t>
        </is>
      </c>
      <c r="G962" t="n">
        <v>14.9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2856-2023</t>
        </is>
      </c>
      <c r="B963" s="1" t="n">
        <v>44945</v>
      </c>
      <c r="C963" s="1" t="n">
        <v>45189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2858-2023</t>
        </is>
      </c>
      <c r="B964" s="1" t="n">
        <v>44945</v>
      </c>
      <c r="C964" s="1" t="n">
        <v>45189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Kommuner</t>
        </is>
      </c>
      <c r="G964" t="n">
        <v>4.8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3216-2023</t>
        </is>
      </c>
      <c r="B965" s="1" t="n">
        <v>44946</v>
      </c>
      <c r="C965" s="1" t="n">
        <v>45189</v>
      </c>
      <c r="D965" t="inlineStr">
        <is>
          <t>SÖDERMANLANDS LÄN</t>
        </is>
      </c>
      <c r="E965" t="inlineStr">
        <is>
          <t>NYKÖPING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3468-2023</t>
        </is>
      </c>
      <c r="B966" s="1" t="n">
        <v>44949</v>
      </c>
      <c r="C966" s="1" t="n">
        <v>45189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3475-2023</t>
        </is>
      </c>
      <c r="B967" s="1" t="n">
        <v>44949</v>
      </c>
      <c r="C967" s="1" t="n">
        <v>45189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3571-2023</t>
        </is>
      </c>
      <c r="B968" s="1" t="n">
        <v>44950</v>
      </c>
      <c r="C968" s="1" t="n">
        <v>45189</v>
      </c>
      <c r="D968" t="inlineStr">
        <is>
          <t>SÖDERMANLANDS LÄN</t>
        </is>
      </c>
      <c r="E968" t="inlineStr">
        <is>
          <t>NYKÖPING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3707-2023</t>
        </is>
      </c>
      <c r="B969" s="1" t="n">
        <v>44951</v>
      </c>
      <c r="C969" s="1" t="n">
        <v>45189</v>
      </c>
      <c r="D969" t="inlineStr">
        <is>
          <t>SÖDERMANLANDS LÄN</t>
        </is>
      </c>
      <c r="E969" t="inlineStr">
        <is>
          <t>NYKÖPING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4402-2023</t>
        </is>
      </c>
      <c r="B970" s="1" t="n">
        <v>44956</v>
      </c>
      <c r="C970" s="1" t="n">
        <v>45189</v>
      </c>
      <c r="D970" t="inlineStr">
        <is>
          <t>SÖDERMANLANDS LÄN</t>
        </is>
      </c>
      <c r="E970" t="inlineStr">
        <is>
          <t>NYKÖPING</t>
        </is>
      </c>
      <c r="F970" t="inlineStr">
        <is>
          <t>Övriga Aktiebolag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4577-2023</t>
        </is>
      </c>
      <c r="B971" s="1" t="n">
        <v>44956</v>
      </c>
      <c r="C971" s="1" t="n">
        <v>45189</v>
      </c>
      <c r="D971" t="inlineStr">
        <is>
          <t>SÖDERMANLANDS LÄN</t>
        </is>
      </c>
      <c r="E971" t="inlineStr">
        <is>
          <t>NYKÖPING</t>
        </is>
      </c>
      <c r="G971" t="n">
        <v>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4683-2023</t>
        </is>
      </c>
      <c r="B972" s="1" t="n">
        <v>44957</v>
      </c>
      <c r="C972" s="1" t="n">
        <v>45189</v>
      </c>
      <c r="D972" t="inlineStr">
        <is>
          <t>SÖDERMANLANDS LÄN</t>
        </is>
      </c>
      <c r="E972" t="inlineStr">
        <is>
          <t>NYKÖPING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4789-2023</t>
        </is>
      </c>
      <c r="B973" s="1" t="n">
        <v>44957</v>
      </c>
      <c r="C973" s="1" t="n">
        <v>45189</v>
      </c>
      <c r="D973" t="inlineStr">
        <is>
          <t>SÖDERMANLANDS LÄN</t>
        </is>
      </c>
      <c r="E973" t="inlineStr">
        <is>
          <t>NYKÖPING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5107-2023</t>
        </is>
      </c>
      <c r="B974" s="1" t="n">
        <v>44958</v>
      </c>
      <c r="C974" s="1" t="n">
        <v>45189</v>
      </c>
      <c r="D974" t="inlineStr">
        <is>
          <t>SÖDERMANLANDS LÄN</t>
        </is>
      </c>
      <c r="E974" t="inlineStr">
        <is>
          <t>NYKÖPING</t>
        </is>
      </c>
      <c r="G974" t="n">
        <v>4.4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5291-2023</t>
        </is>
      </c>
      <c r="B975" s="1" t="n">
        <v>44959</v>
      </c>
      <c r="C975" s="1" t="n">
        <v>45189</v>
      </c>
      <c r="D975" t="inlineStr">
        <is>
          <t>SÖDERMANLANDS LÄN</t>
        </is>
      </c>
      <c r="E975" t="inlineStr">
        <is>
          <t>NYKÖPING</t>
        </is>
      </c>
      <c r="G975" t="n">
        <v>6.5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5292-2023</t>
        </is>
      </c>
      <c r="B976" s="1" t="n">
        <v>44959</v>
      </c>
      <c r="C976" s="1" t="n">
        <v>45189</v>
      </c>
      <c r="D976" t="inlineStr">
        <is>
          <t>SÖDERMANLANDS LÄN</t>
        </is>
      </c>
      <c r="E976" t="inlineStr">
        <is>
          <t>NYKÖPING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5290-2023</t>
        </is>
      </c>
      <c r="B977" s="1" t="n">
        <v>44959</v>
      </c>
      <c r="C977" s="1" t="n">
        <v>45189</v>
      </c>
      <c r="D977" t="inlineStr">
        <is>
          <t>SÖDERMANLANDS LÄN</t>
        </is>
      </c>
      <c r="E977" t="inlineStr">
        <is>
          <t>NYKÖPING</t>
        </is>
      </c>
      <c r="G977" t="n">
        <v>3.7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5319-2023</t>
        </is>
      </c>
      <c r="B978" s="1" t="n">
        <v>44959</v>
      </c>
      <c r="C978" s="1" t="n">
        <v>45189</v>
      </c>
      <c r="D978" t="inlineStr">
        <is>
          <t>SÖDERMANLANDS LÄN</t>
        </is>
      </c>
      <c r="E978" t="inlineStr">
        <is>
          <t>NYKÖPING</t>
        </is>
      </c>
      <c r="F978" t="inlineStr">
        <is>
          <t>Övriga Aktiebolag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5483-2023</t>
        </is>
      </c>
      <c r="B979" s="1" t="n">
        <v>44960</v>
      </c>
      <c r="C979" s="1" t="n">
        <v>45189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5513-2023</t>
        </is>
      </c>
      <c r="B980" s="1" t="n">
        <v>44960</v>
      </c>
      <c r="C980" s="1" t="n">
        <v>45189</v>
      </c>
      <c r="D980" t="inlineStr">
        <is>
          <t>SÖDERMANLANDS LÄN</t>
        </is>
      </c>
      <c r="E980" t="inlineStr">
        <is>
          <t>NYKÖPING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5546-2023</t>
        </is>
      </c>
      <c r="B981" s="1" t="n">
        <v>44960</v>
      </c>
      <c r="C981" s="1" t="n">
        <v>45189</v>
      </c>
      <c r="D981" t="inlineStr">
        <is>
          <t>SÖDERMANLANDS LÄN</t>
        </is>
      </c>
      <c r="E981" t="inlineStr">
        <is>
          <t>NYKÖPING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5509-2023</t>
        </is>
      </c>
      <c r="B982" s="1" t="n">
        <v>44960</v>
      </c>
      <c r="C982" s="1" t="n">
        <v>45189</v>
      </c>
      <c r="D982" t="inlineStr">
        <is>
          <t>SÖDERMANLANDS LÄN</t>
        </is>
      </c>
      <c r="E982" t="inlineStr">
        <is>
          <t>NYKÖPING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5521-2023</t>
        </is>
      </c>
      <c r="B983" s="1" t="n">
        <v>44960</v>
      </c>
      <c r="C983" s="1" t="n">
        <v>45189</v>
      </c>
      <c r="D983" t="inlineStr">
        <is>
          <t>SÖDERMANLANDS LÄN</t>
        </is>
      </c>
      <c r="E983" t="inlineStr">
        <is>
          <t>NYKÖPING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5494-2023</t>
        </is>
      </c>
      <c r="B984" s="1" t="n">
        <v>44960</v>
      </c>
      <c r="C984" s="1" t="n">
        <v>45189</v>
      </c>
      <c r="D984" t="inlineStr">
        <is>
          <t>SÖDERMANLANDS LÄN</t>
        </is>
      </c>
      <c r="E984" t="inlineStr">
        <is>
          <t>NYKÖPING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5538-2023</t>
        </is>
      </c>
      <c r="B985" s="1" t="n">
        <v>44960</v>
      </c>
      <c r="C985" s="1" t="n">
        <v>45189</v>
      </c>
      <c r="D985" t="inlineStr">
        <is>
          <t>SÖDERMANLANDS LÄN</t>
        </is>
      </c>
      <c r="E985" t="inlineStr">
        <is>
          <t>NYKÖPING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5642-2023</t>
        </is>
      </c>
      <c r="B986" s="1" t="n">
        <v>44960</v>
      </c>
      <c r="C986" s="1" t="n">
        <v>45189</v>
      </c>
      <c r="D986" t="inlineStr">
        <is>
          <t>SÖDERMANLANDS LÄN</t>
        </is>
      </c>
      <c r="E986" t="inlineStr">
        <is>
          <t>NYKÖPING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6141-2023</t>
        </is>
      </c>
      <c r="B987" s="1" t="n">
        <v>44964</v>
      </c>
      <c r="C987" s="1" t="n">
        <v>45189</v>
      </c>
      <c r="D987" t="inlineStr">
        <is>
          <t>SÖDERMANLANDS LÄN</t>
        </is>
      </c>
      <c r="E987" t="inlineStr">
        <is>
          <t>NYKÖPING</t>
        </is>
      </c>
      <c r="G987" t="n">
        <v>5.4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6121-2023</t>
        </is>
      </c>
      <c r="B988" s="1" t="n">
        <v>44964</v>
      </c>
      <c r="C988" s="1" t="n">
        <v>45189</v>
      </c>
      <c r="D988" t="inlineStr">
        <is>
          <t>SÖDERMANLANDS LÄN</t>
        </is>
      </c>
      <c r="E988" t="inlineStr">
        <is>
          <t>NYKÖPING</t>
        </is>
      </c>
      <c r="G988" t="n">
        <v>10.1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6519-2023</t>
        </is>
      </c>
      <c r="B989" s="1" t="n">
        <v>44965</v>
      </c>
      <c r="C989" s="1" t="n">
        <v>45189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1.2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6348-2023</t>
        </is>
      </c>
      <c r="B990" s="1" t="n">
        <v>44965</v>
      </c>
      <c r="C990" s="1" t="n">
        <v>45189</v>
      </c>
      <c r="D990" t="inlineStr">
        <is>
          <t>SÖDERMANLANDS LÄN</t>
        </is>
      </c>
      <c r="E990" t="inlineStr">
        <is>
          <t>NYKÖPING</t>
        </is>
      </c>
      <c r="F990" t="inlineStr">
        <is>
          <t>Kyrkan</t>
        </is>
      </c>
      <c r="G990" t="n">
        <v>3.8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6392-2023</t>
        </is>
      </c>
      <c r="B991" s="1" t="n">
        <v>44965</v>
      </c>
      <c r="C991" s="1" t="n">
        <v>45189</v>
      </c>
      <c r="D991" t="inlineStr">
        <is>
          <t>SÖDERMANLANDS LÄN</t>
        </is>
      </c>
      <c r="E991" t="inlineStr">
        <is>
          <t>NYKÖPING</t>
        </is>
      </c>
      <c r="G991" t="n">
        <v>0.2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6491-2023</t>
        </is>
      </c>
      <c r="B992" s="1" t="n">
        <v>44966</v>
      </c>
      <c r="C992" s="1" t="n">
        <v>45189</v>
      </c>
      <c r="D992" t="inlineStr">
        <is>
          <t>SÖDERMANLANDS LÄN</t>
        </is>
      </c>
      <c r="E992" t="inlineStr">
        <is>
          <t>NYKÖPING</t>
        </is>
      </c>
      <c r="F992" t="inlineStr">
        <is>
          <t>Övriga Aktiebolag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6976-2023</t>
        </is>
      </c>
      <c r="B993" s="1" t="n">
        <v>44967</v>
      </c>
      <c r="C993" s="1" t="n">
        <v>45189</v>
      </c>
      <c r="D993" t="inlineStr">
        <is>
          <t>SÖDERMANLANDS LÄN</t>
        </is>
      </c>
      <c r="E993" t="inlineStr">
        <is>
          <t>NYKÖPING</t>
        </is>
      </c>
      <c r="G993" t="n">
        <v>1.4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6817-2023</t>
        </is>
      </c>
      <c r="B994" s="1" t="n">
        <v>44967</v>
      </c>
      <c r="C994" s="1" t="n">
        <v>45189</v>
      </c>
      <c r="D994" t="inlineStr">
        <is>
          <t>SÖDERMANLANDS LÄN</t>
        </is>
      </c>
      <c r="E994" t="inlineStr">
        <is>
          <t>NYKÖPING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7036-2023</t>
        </is>
      </c>
      <c r="B995" s="1" t="n">
        <v>44968</v>
      </c>
      <c r="C995" s="1" t="n">
        <v>45189</v>
      </c>
      <c r="D995" t="inlineStr">
        <is>
          <t>SÖDERMANLANDS LÄN</t>
        </is>
      </c>
      <c r="E995" t="inlineStr">
        <is>
          <t>NYKÖPING</t>
        </is>
      </c>
      <c r="G995" t="n">
        <v>0.9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7223-2023</t>
        </is>
      </c>
      <c r="B996" s="1" t="n">
        <v>44970</v>
      </c>
      <c r="C996" s="1" t="n">
        <v>45189</v>
      </c>
      <c r="D996" t="inlineStr">
        <is>
          <t>SÖDERMANLANDS LÄN</t>
        </is>
      </c>
      <c r="E996" t="inlineStr">
        <is>
          <t>NYKÖPING</t>
        </is>
      </c>
      <c r="F996" t="inlineStr">
        <is>
          <t>Holmen skog AB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7861-2023</t>
        </is>
      </c>
      <c r="B997" s="1" t="n">
        <v>44970</v>
      </c>
      <c r="C997" s="1" t="n">
        <v>45189</v>
      </c>
      <c r="D997" t="inlineStr">
        <is>
          <t>SÖDERMANLANDS LÄN</t>
        </is>
      </c>
      <c r="E997" t="inlineStr">
        <is>
          <t>NYKÖPING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7729-2023</t>
        </is>
      </c>
      <c r="B998" s="1" t="n">
        <v>44973</v>
      </c>
      <c r="C998" s="1" t="n">
        <v>45189</v>
      </c>
      <c r="D998" t="inlineStr">
        <is>
          <t>SÖDERMANLANDS LÄN</t>
        </is>
      </c>
      <c r="E998" t="inlineStr">
        <is>
          <t>NYKÖPING</t>
        </is>
      </c>
      <c r="F998" t="inlineStr">
        <is>
          <t>Holmen skog AB</t>
        </is>
      </c>
      <c r="G998" t="n">
        <v>6.5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8340-2023</t>
        </is>
      </c>
      <c r="B999" s="1" t="n">
        <v>44976</v>
      </c>
      <c r="C999" s="1" t="n">
        <v>45189</v>
      </c>
      <c r="D999" t="inlineStr">
        <is>
          <t>SÖDERMANLANDS LÄN</t>
        </is>
      </c>
      <c r="E999" t="inlineStr">
        <is>
          <t>NYKÖPING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9200-2023</t>
        </is>
      </c>
      <c r="B1000" s="1" t="n">
        <v>44976</v>
      </c>
      <c r="C1000" s="1" t="n">
        <v>45189</v>
      </c>
      <c r="D1000" t="inlineStr">
        <is>
          <t>SÖDERMANLANDS LÄN</t>
        </is>
      </c>
      <c r="E1000" t="inlineStr">
        <is>
          <t>NYKÖPING</t>
        </is>
      </c>
      <c r="G1000" t="n">
        <v>11.1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8407-2023</t>
        </is>
      </c>
      <c r="B1001" s="1" t="n">
        <v>44977</v>
      </c>
      <c r="C1001" s="1" t="n">
        <v>45189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8573-2023</t>
        </is>
      </c>
      <c r="B1002" s="1" t="n">
        <v>44977</v>
      </c>
      <c r="C1002" s="1" t="n">
        <v>45189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8421-2023</t>
        </is>
      </c>
      <c r="B1003" s="1" t="n">
        <v>44977</v>
      </c>
      <c r="C1003" s="1" t="n">
        <v>45189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8466-2023</t>
        </is>
      </c>
      <c r="B1004" s="1" t="n">
        <v>44977</v>
      </c>
      <c r="C1004" s="1" t="n">
        <v>45189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8497-2023</t>
        </is>
      </c>
      <c r="B1005" s="1" t="n">
        <v>44977</v>
      </c>
      <c r="C1005" s="1" t="n">
        <v>45189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8503-2023</t>
        </is>
      </c>
      <c r="B1006" s="1" t="n">
        <v>44977</v>
      </c>
      <c r="C1006" s="1" t="n">
        <v>45189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8511-2023</t>
        </is>
      </c>
      <c r="B1007" s="1" t="n">
        <v>44977</v>
      </c>
      <c r="C1007" s="1" t="n">
        <v>45189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8533-2023</t>
        </is>
      </c>
      <c r="B1008" s="1" t="n">
        <v>44977</v>
      </c>
      <c r="C1008" s="1" t="n">
        <v>45189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8585-2023</t>
        </is>
      </c>
      <c r="B1009" s="1" t="n">
        <v>44977</v>
      </c>
      <c r="C1009" s="1" t="n">
        <v>45189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3.3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8458-2023</t>
        </is>
      </c>
      <c r="B1010" s="1" t="n">
        <v>44977</v>
      </c>
      <c r="C1010" s="1" t="n">
        <v>45189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0.8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8428-2023</t>
        </is>
      </c>
      <c r="B1011" s="1" t="n">
        <v>44977</v>
      </c>
      <c r="C1011" s="1" t="n">
        <v>45189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8439-2023</t>
        </is>
      </c>
      <c r="B1012" s="1" t="n">
        <v>44977</v>
      </c>
      <c r="C1012" s="1" t="n">
        <v>45189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8522-2023</t>
        </is>
      </c>
      <c r="B1013" s="1" t="n">
        <v>44977</v>
      </c>
      <c r="C1013" s="1" t="n">
        <v>45189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8566-2023</t>
        </is>
      </c>
      <c r="B1014" s="1" t="n">
        <v>44977</v>
      </c>
      <c r="C1014" s="1" t="n">
        <v>45189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Övriga Aktiebolag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9221-2023</t>
        </is>
      </c>
      <c r="B1015" s="1" t="n">
        <v>44977</v>
      </c>
      <c r="C1015" s="1" t="n">
        <v>45189</v>
      </c>
      <c r="D1015" t="inlineStr">
        <is>
          <t>SÖDERMANLANDS LÄN</t>
        </is>
      </c>
      <c r="E1015" t="inlineStr">
        <is>
          <t>NYKÖPING</t>
        </is>
      </c>
      <c r="F1015" t="inlineStr">
        <is>
          <t>Allmännings- och besparingsskogar</t>
        </is>
      </c>
      <c r="G1015" t="n">
        <v>20.4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8751-2023</t>
        </is>
      </c>
      <c r="B1016" s="1" t="n">
        <v>44978</v>
      </c>
      <c r="C1016" s="1" t="n">
        <v>45189</v>
      </c>
      <c r="D1016" t="inlineStr">
        <is>
          <t>SÖDERMANLANDS LÄN</t>
        </is>
      </c>
      <c r="E1016" t="inlineStr">
        <is>
          <t>NYKÖPING</t>
        </is>
      </c>
      <c r="G1016" t="n">
        <v>6.5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8763-2023</t>
        </is>
      </c>
      <c r="B1017" s="1" t="n">
        <v>44978</v>
      </c>
      <c r="C1017" s="1" t="n">
        <v>45189</v>
      </c>
      <c r="D1017" t="inlineStr">
        <is>
          <t>SÖDERMANLANDS LÄN</t>
        </is>
      </c>
      <c r="E1017" t="inlineStr">
        <is>
          <t>NYKÖPING</t>
        </is>
      </c>
      <c r="G1017" t="n">
        <v>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9491-2023</t>
        </is>
      </c>
      <c r="B1018" s="1" t="n">
        <v>44978</v>
      </c>
      <c r="C1018" s="1" t="n">
        <v>45189</v>
      </c>
      <c r="D1018" t="inlineStr">
        <is>
          <t>SÖDERMANLANDS LÄN</t>
        </is>
      </c>
      <c r="E1018" t="inlineStr">
        <is>
          <t>NYKÖPING</t>
        </is>
      </c>
      <c r="G1018" t="n">
        <v>2.6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9066-2023</t>
        </is>
      </c>
      <c r="B1019" s="1" t="n">
        <v>44979</v>
      </c>
      <c r="C1019" s="1" t="n">
        <v>45189</v>
      </c>
      <c r="D1019" t="inlineStr">
        <is>
          <t>SÖDERMANLANDS LÄN</t>
        </is>
      </c>
      <c r="E1019" t="inlineStr">
        <is>
          <t>NYKÖPING</t>
        </is>
      </c>
      <c r="G1019" t="n">
        <v>26.7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9019-2023</t>
        </is>
      </c>
      <c r="B1020" s="1" t="n">
        <v>44979</v>
      </c>
      <c r="C1020" s="1" t="n">
        <v>45189</v>
      </c>
      <c r="D1020" t="inlineStr">
        <is>
          <t>SÖDERMANLANDS LÄN</t>
        </is>
      </c>
      <c r="E1020" t="inlineStr">
        <is>
          <t>NYKÖPING</t>
        </is>
      </c>
      <c r="F1020" t="inlineStr">
        <is>
          <t>Övriga Aktiebolag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9167-2023</t>
        </is>
      </c>
      <c r="B1021" s="1" t="n">
        <v>44980</v>
      </c>
      <c r="C1021" s="1" t="n">
        <v>45189</v>
      </c>
      <c r="D1021" t="inlineStr">
        <is>
          <t>SÖDERMANLANDS LÄN</t>
        </is>
      </c>
      <c r="E1021" t="inlineStr">
        <is>
          <t>NYKÖPING</t>
        </is>
      </c>
      <c r="G1021" t="n">
        <v>6.9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10429-2023</t>
        </is>
      </c>
      <c r="B1022" s="1" t="n">
        <v>44987</v>
      </c>
      <c r="C1022" s="1" t="n">
        <v>45189</v>
      </c>
      <c r="D1022" t="inlineStr">
        <is>
          <t>SÖDERMANLANDS LÄN</t>
        </is>
      </c>
      <c r="E1022" t="inlineStr">
        <is>
          <t>NYKÖPING</t>
        </is>
      </c>
      <c r="G1022" t="n">
        <v>1.8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10689-2023</t>
        </is>
      </c>
      <c r="B1023" s="1" t="n">
        <v>44988</v>
      </c>
      <c r="C1023" s="1" t="n">
        <v>45189</v>
      </c>
      <c r="D1023" t="inlineStr">
        <is>
          <t>SÖDERMANLANDS LÄN</t>
        </is>
      </c>
      <c r="E1023" t="inlineStr">
        <is>
          <t>NYKÖPING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10687-2023</t>
        </is>
      </c>
      <c r="B1024" s="1" t="n">
        <v>44988</v>
      </c>
      <c r="C1024" s="1" t="n">
        <v>45189</v>
      </c>
      <c r="D1024" t="inlineStr">
        <is>
          <t>SÖDERMANLANDS LÄN</t>
        </is>
      </c>
      <c r="E1024" t="inlineStr">
        <is>
          <t>NYKÖPING</t>
        </is>
      </c>
      <c r="G1024" t="n">
        <v>2.4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11363-2023</t>
        </is>
      </c>
      <c r="B1025" s="1" t="n">
        <v>44990</v>
      </c>
      <c r="C1025" s="1" t="n">
        <v>45189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11357-2023</t>
        </is>
      </c>
      <c r="B1026" s="1" t="n">
        <v>44990</v>
      </c>
      <c r="C1026" s="1" t="n">
        <v>45189</v>
      </c>
      <c r="D1026" t="inlineStr">
        <is>
          <t>SÖDERMANLANDS LÄN</t>
        </is>
      </c>
      <c r="E1026" t="inlineStr">
        <is>
          <t>NYKÖPING</t>
        </is>
      </c>
      <c r="F1026" t="inlineStr">
        <is>
          <t>Allmännings- och besparingsskogar</t>
        </is>
      </c>
      <c r="G1026" t="n">
        <v>27.1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10884-2023</t>
        </is>
      </c>
      <c r="B1027" s="1" t="n">
        <v>44991</v>
      </c>
      <c r="C1027" s="1" t="n">
        <v>45189</v>
      </c>
      <c r="D1027" t="inlineStr">
        <is>
          <t>SÖDERMANLANDS LÄN</t>
        </is>
      </c>
      <c r="E1027" t="inlineStr">
        <is>
          <t>NYKÖPING</t>
        </is>
      </c>
      <c r="G1027" t="n">
        <v>5.3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11001-2023</t>
        </is>
      </c>
      <c r="B1028" s="1" t="n">
        <v>44991</v>
      </c>
      <c r="C1028" s="1" t="n">
        <v>45189</v>
      </c>
      <c r="D1028" t="inlineStr">
        <is>
          <t>SÖDERMANLANDS LÄN</t>
        </is>
      </c>
      <c r="E1028" t="inlineStr">
        <is>
          <t>NYKÖPING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11718-2023</t>
        </is>
      </c>
      <c r="B1029" s="1" t="n">
        <v>44992</v>
      </c>
      <c r="C1029" s="1" t="n">
        <v>45189</v>
      </c>
      <c r="D1029" t="inlineStr">
        <is>
          <t>SÖDERMANLANDS LÄN</t>
        </is>
      </c>
      <c r="E1029" t="inlineStr">
        <is>
          <t>NYKÖPING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11753-2023</t>
        </is>
      </c>
      <c r="B1030" s="1" t="n">
        <v>44992</v>
      </c>
      <c r="C1030" s="1" t="n">
        <v>45189</v>
      </c>
      <c r="D1030" t="inlineStr">
        <is>
          <t>SÖDERMANLANDS LÄN</t>
        </is>
      </c>
      <c r="E1030" t="inlineStr">
        <is>
          <t>NYKÖPING</t>
        </is>
      </c>
      <c r="G1030" t="n">
        <v>1.7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11908-2023</t>
        </is>
      </c>
      <c r="B1031" s="1" t="n">
        <v>44995</v>
      </c>
      <c r="C1031" s="1" t="n">
        <v>45189</v>
      </c>
      <c r="D1031" t="inlineStr">
        <is>
          <t>SÖDERMANLANDS LÄN</t>
        </is>
      </c>
      <c r="E1031" t="inlineStr">
        <is>
          <t>NYKÖPING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11918-2023</t>
        </is>
      </c>
      <c r="B1032" s="1" t="n">
        <v>44995</v>
      </c>
      <c r="C1032" s="1" t="n">
        <v>45189</v>
      </c>
      <c r="D1032" t="inlineStr">
        <is>
          <t>SÖDERMANLANDS LÄN</t>
        </is>
      </c>
      <c r="E1032" t="inlineStr">
        <is>
          <t>NYKÖPING</t>
        </is>
      </c>
      <c r="G1032" t="n">
        <v>4.3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12572-2023</t>
        </is>
      </c>
      <c r="B1033" s="1" t="n">
        <v>45000</v>
      </c>
      <c r="C1033" s="1" t="n">
        <v>45189</v>
      </c>
      <c r="D1033" t="inlineStr">
        <is>
          <t>SÖDERMANLANDS LÄN</t>
        </is>
      </c>
      <c r="E1033" t="inlineStr">
        <is>
          <t>NYKÖPING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12579-2023</t>
        </is>
      </c>
      <c r="B1034" s="1" t="n">
        <v>45000</v>
      </c>
      <c r="C1034" s="1" t="n">
        <v>45189</v>
      </c>
      <c r="D1034" t="inlineStr">
        <is>
          <t>SÖDERMANLANDS LÄN</t>
        </is>
      </c>
      <c r="E1034" t="inlineStr">
        <is>
          <t>NYKÖPING</t>
        </is>
      </c>
      <c r="G1034" t="n">
        <v>2.8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12805-2023</t>
        </is>
      </c>
      <c r="B1035" s="1" t="n">
        <v>45001</v>
      </c>
      <c r="C1035" s="1" t="n">
        <v>45189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Kyrkan</t>
        </is>
      </c>
      <c r="G1035" t="n">
        <v>5.2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12898-2023</t>
        </is>
      </c>
      <c r="B1036" s="1" t="n">
        <v>45001</v>
      </c>
      <c r="C1036" s="1" t="n">
        <v>45189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Holmen skog AB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12800-2023</t>
        </is>
      </c>
      <c r="B1037" s="1" t="n">
        <v>45001</v>
      </c>
      <c r="C1037" s="1" t="n">
        <v>45189</v>
      </c>
      <c r="D1037" t="inlineStr">
        <is>
          <t>SÖDERMANLANDS LÄN</t>
        </is>
      </c>
      <c r="E1037" t="inlineStr">
        <is>
          <t>NYKÖPING</t>
        </is>
      </c>
      <c r="F1037" t="inlineStr">
        <is>
          <t>Kyrkan</t>
        </is>
      </c>
      <c r="G1037" t="n">
        <v>5.6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13531-2023</t>
        </is>
      </c>
      <c r="B1038" s="1" t="n">
        <v>45005</v>
      </c>
      <c r="C1038" s="1" t="n">
        <v>45189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13806-2023</t>
        </is>
      </c>
      <c r="B1039" s="1" t="n">
        <v>45007</v>
      </c>
      <c r="C1039" s="1" t="n">
        <v>45189</v>
      </c>
      <c r="D1039" t="inlineStr">
        <is>
          <t>SÖDERMANLANDS LÄN</t>
        </is>
      </c>
      <c r="E1039" t="inlineStr">
        <is>
          <t>NYKÖPING</t>
        </is>
      </c>
      <c r="F1039" t="inlineStr">
        <is>
          <t>Övriga Aktiebolag</t>
        </is>
      </c>
      <c r="G1039" t="n">
        <v>8.199999999999999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14144-2023</t>
        </is>
      </c>
      <c r="B1040" s="1" t="n">
        <v>45009</v>
      </c>
      <c r="C1040" s="1" t="n">
        <v>45189</v>
      </c>
      <c r="D1040" t="inlineStr">
        <is>
          <t>SÖDERMANLANDS LÄN</t>
        </is>
      </c>
      <c r="E1040" t="inlineStr">
        <is>
          <t>NYKÖPING</t>
        </is>
      </c>
      <c r="G1040" t="n">
        <v>6.8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14687-2023</t>
        </is>
      </c>
      <c r="B1041" s="1" t="n">
        <v>45014</v>
      </c>
      <c r="C1041" s="1" t="n">
        <v>45189</v>
      </c>
      <c r="D1041" t="inlineStr">
        <is>
          <t>SÖDERMANLANDS LÄN</t>
        </is>
      </c>
      <c r="E1041" t="inlineStr">
        <is>
          <t>NYKÖPING</t>
        </is>
      </c>
      <c r="G1041" t="n">
        <v>3.6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14714-2023</t>
        </is>
      </c>
      <c r="B1042" s="1" t="n">
        <v>45014</v>
      </c>
      <c r="C1042" s="1" t="n">
        <v>45189</v>
      </c>
      <c r="D1042" t="inlineStr">
        <is>
          <t>SÖDERMANLANDS LÄN</t>
        </is>
      </c>
      <c r="E1042" t="inlineStr">
        <is>
          <t>NYKÖPING</t>
        </is>
      </c>
      <c r="G1042" t="n">
        <v>0.5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14690-2023</t>
        </is>
      </c>
      <c r="B1043" s="1" t="n">
        <v>45014</v>
      </c>
      <c r="C1043" s="1" t="n">
        <v>45189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15224-2023</t>
        </is>
      </c>
      <c r="B1044" s="1" t="n">
        <v>45019</v>
      </c>
      <c r="C1044" s="1" t="n">
        <v>45189</v>
      </c>
      <c r="D1044" t="inlineStr">
        <is>
          <t>SÖDERMANLANDS LÄN</t>
        </is>
      </c>
      <c r="E1044" t="inlineStr">
        <is>
          <t>NYKÖPING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16147-2023</t>
        </is>
      </c>
      <c r="B1045" s="1" t="n">
        <v>45022</v>
      </c>
      <c r="C1045" s="1" t="n">
        <v>45189</v>
      </c>
      <c r="D1045" t="inlineStr">
        <is>
          <t>SÖDERMANLANDS LÄN</t>
        </is>
      </c>
      <c r="E1045" t="inlineStr">
        <is>
          <t>NYKÖPING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16151-2023</t>
        </is>
      </c>
      <c r="B1046" s="1" t="n">
        <v>45022</v>
      </c>
      <c r="C1046" s="1" t="n">
        <v>45189</v>
      </c>
      <c r="D1046" t="inlineStr">
        <is>
          <t>SÖDERMANLANDS LÄN</t>
        </is>
      </c>
      <c r="E1046" t="inlineStr">
        <is>
          <t>NYKÖPING</t>
        </is>
      </c>
      <c r="G1046" t="n">
        <v>4.1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16145-2023</t>
        </is>
      </c>
      <c r="B1047" s="1" t="n">
        <v>45022</v>
      </c>
      <c r="C1047" s="1" t="n">
        <v>45189</v>
      </c>
      <c r="D1047" t="inlineStr">
        <is>
          <t>SÖDERMANLANDS LÄN</t>
        </is>
      </c>
      <c r="E1047" t="inlineStr">
        <is>
          <t>NYKÖPING</t>
        </is>
      </c>
      <c r="G1047" t="n">
        <v>1.1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16136-2023</t>
        </is>
      </c>
      <c r="B1048" s="1" t="n">
        <v>45022</v>
      </c>
      <c r="C1048" s="1" t="n">
        <v>45189</v>
      </c>
      <c r="D1048" t="inlineStr">
        <is>
          <t>SÖDERMANLANDS LÄN</t>
        </is>
      </c>
      <c r="E1048" t="inlineStr">
        <is>
          <t>NYKÖPING</t>
        </is>
      </c>
      <c r="G1048" t="n">
        <v>8.9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16155-2023</t>
        </is>
      </c>
      <c r="B1049" s="1" t="n">
        <v>45022</v>
      </c>
      <c r="C1049" s="1" t="n">
        <v>45189</v>
      </c>
      <c r="D1049" t="inlineStr">
        <is>
          <t>SÖDERMANLANDS LÄN</t>
        </is>
      </c>
      <c r="E1049" t="inlineStr">
        <is>
          <t>NYKÖPING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16078-2023</t>
        </is>
      </c>
      <c r="B1050" s="1" t="n">
        <v>45027</v>
      </c>
      <c r="C1050" s="1" t="n">
        <v>45189</v>
      </c>
      <c r="D1050" t="inlineStr">
        <is>
          <t>SÖDERMANLANDS LÄN</t>
        </is>
      </c>
      <c r="E1050" t="inlineStr">
        <is>
          <t>NYKÖPING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16072-2023</t>
        </is>
      </c>
      <c r="B1051" s="1" t="n">
        <v>45027</v>
      </c>
      <c r="C1051" s="1" t="n">
        <v>45189</v>
      </c>
      <c r="D1051" t="inlineStr">
        <is>
          <t>SÖDERMANLANDS LÄN</t>
        </is>
      </c>
      <c r="E1051" t="inlineStr">
        <is>
          <t>NYKÖPING</t>
        </is>
      </c>
      <c r="G1051" t="n">
        <v>2.7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16354-2023</t>
        </is>
      </c>
      <c r="B1052" s="1" t="n">
        <v>45028</v>
      </c>
      <c r="C1052" s="1" t="n">
        <v>45189</v>
      </c>
      <c r="D1052" t="inlineStr">
        <is>
          <t>SÖDERMANLANDS LÄN</t>
        </is>
      </c>
      <c r="E1052" t="inlineStr">
        <is>
          <t>NYKÖPING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16457-2023</t>
        </is>
      </c>
      <c r="B1053" s="1" t="n">
        <v>45029</v>
      </c>
      <c r="C1053" s="1" t="n">
        <v>45189</v>
      </c>
      <c r="D1053" t="inlineStr">
        <is>
          <t>SÖDERMANLANDS LÄN</t>
        </is>
      </c>
      <c r="E1053" t="inlineStr">
        <is>
          <t>NYKÖPING</t>
        </is>
      </c>
      <c r="G1053" t="n">
        <v>0.1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16476-2023</t>
        </is>
      </c>
      <c r="B1054" s="1" t="n">
        <v>45029</v>
      </c>
      <c r="C1054" s="1" t="n">
        <v>45189</v>
      </c>
      <c r="D1054" t="inlineStr">
        <is>
          <t>SÖDERMANLANDS LÄN</t>
        </is>
      </c>
      <c r="E1054" t="inlineStr">
        <is>
          <t>NYKÖPING</t>
        </is>
      </c>
      <c r="F1054" t="inlineStr">
        <is>
          <t>Övriga Aktiebolag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16460-2023</t>
        </is>
      </c>
      <c r="B1055" s="1" t="n">
        <v>45029</v>
      </c>
      <c r="C1055" s="1" t="n">
        <v>45189</v>
      </c>
      <c r="D1055" t="inlineStr">
        <is>
          <t>SÖDERMANLANDS LÄN</t>
        </is>
      </c>
      <c r="E1055" t="inlineStr">
        <is>
          <t>NYKÖPING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16810-2023</t>
        </is>
      </c>
      <c r="B1056" s="1" t="n">
        <v>45033</v>
      </c>
      <c r="C1056" s="1" t="n">
        <v>45189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Övriga Aktiebolag</t>
        </is>
      </c>
      <c r="G1056" t="n">
        <v>1.8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16981-2023</t>
        </is>
      </c>
      <c r="B1057" s="1" t="n">
        <v>45033</v>
      </c>
      <c r="C1057" s="1" t="n">
        <v>45189</v>
      </c>
      <c r="D1057" t="inlineStr">
        <is>
          <t>SÖDERMANLANDS LÄN</t>
        </is>
      </c>
      <c r="E1057" t="inlineStr">
        <is>
          <t>NYKÖPING</t>
        </is>
      </c>
      <c r="F1057" t="inlineStr">
        <is>
          <t>Holmen skog AB</t>
        </is>
      </c>
      <c r="G1057" t="n">
        <v>16.5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17372-2023</t>
        </is>
      </c>
      <c r="B1058" s="1" t="n">
        <v>45034</v>
      </c>
      <c r="C1058" s="1" t="n">
        <v>45189</v>
      </c>
      <c r="D1058" t="inlineStr">
        <is>
          <t>SÖDERMANLANDS LÄN</t>
        </is>
      </c>
      <c r="E1058" t="inlineStr">
        <is>
          <t>NYKÖPING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17385-2023</t>
        </is>
      </c>
      <c r="B1059" s="1" t="n">
        <v>45034</v>
      </c>
      <c r="C1059" s="1" t="n">
        <v>45189</v>
      </c>
      <c r="D1059" t="inlineStr">
        <is>
          <t>SÖDERMANLANDS LÄN</t>
        </is>
      </c>
      <c r="E1059" t="inlineStr">
        <is>
          <t>NYKÖPING</t>
        </is>
      </c>
      <c r="G1059" t="n">
        <v>1.1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17687-2023</t>
        </is>
      </c>
      <c r="B1060" s="1" t="n">
        <v>45037</v>
      </c>
      <c r="C1060" s="1" t="n">
        <v>45189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2.2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17692-2023</t>
        </is>
      </c>
      <c r="B1061" s="1" t="n">
        <v>45037</v>
      </c>
      <c r="C1061" s="1" t="n">
        <v>45189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1.8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17689-2023</t>
        </is>
      </c>
      <c r="B1062" s="1" t="n">
        <v>45037</v>
      </c>
      <c r="C1062" s="1" t="n">
        <v>45189</v>
      </c>
      <c r="D1062" t="inlineStr">
        <is>
          <t>SÖDERMANLANDS LÄN</t>
        </is>
      </c>
      <c r="E1062" t="inlineStr">
        <is>
          <t>NYKÖPING</t>
        </is>
      </c>
      <c r="F1062" t="inlineStr">
        <is>
          <t>Sveaskog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17734-2023</t>
        </is>
      </c>
      <c r="B1063" s="1" t="n">
        <v>45037</v>
      </c>
      <c r="C1063" s="1" t="n">
        <v>45189</v>
      </c>
      <c r="D1063" t="inlineStr">
        <is>
          <t>SÖDERMANLANDS LÄN</t>
        </is>
      </c>
      <c r="E1063" t="inlineStr">
        <is>
          <t>NYKÖPING</t>
        </is>
      </c>
      <c r="G1063" t="n">
        <v>12.2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17688-2023</t>
        </is>
      </c>
      <c r="B1064" s="1" t="n">
        <v>45037</v>
      </c>
      <c r="C1064" s="1" t="n">
        <v>45189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5.4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17691-2023</t>
        </is>
      </c>
      <c r="B1065" s="1" t="n">
        <v>45037</v>
      </c>
      <c r="C1065" s="1" t="n">
        <v>45189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Sveaskog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18036-2023</t>
        </is>
      </c>
      <c r="B1066" s="1" t="n">
        <v>45040</v>
      </c>
      <c r="C1066" s="1" t="n">
        <v>45189</v>
      </c>
      <c r="D1066" t="inlineStr">
        <is>
          <t>SÖDERMANLANDS LÄN</t>
        </is>
      </c>
      <c r="E1066" t="inlineStr">
        <is>
          <t>NYKÖPING</t>
        </is>
      </c>
      <c r="F1066" t="inlineStr">
        <is>
          <t>Holmen skog AB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18124-2023</t>
        </is>
      </c>
      <c r="B1067" s="1" t="n">
        <v>45040</v>
      </c>
      <c r="C1067" s="1" t="n">
        <v>45189</v>
      </c>
      <c r="D1067" t="inlineStr">
        <is>
          <t>SÖDERMANLANDS LÄN</t>
        </is>
      </c>
      <c r="E1067" t="inlineStr">
        <is>
          <t>NYKÖPING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18123-2023</t>
        </is>
      </c>
      <c r="B1068" s="1" t="n">
        <v>45040</v>
      </c>
      <c r="C1068" s="1" t="n">
        <v>45189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18343-2023</t>
        </is>
      </c>
      <c r="B1069" s="1" t="n">
        <v>45040</v>
      </c>
      <c r="C1069" s="1" t="n">
        <v>45189</v>
      </c>
      <c r="D1069" t="inlineStr">
        <is>
          <t>SÖDERMANLANDS LÄN</t>
        </is>
      </c>
      <c r="E1069" t="inlineStr">
        <is>
          <t>NYKÖPING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18053-2023</t>
        </is>
      </c>
      <c r="B1070" s="1" t="n">
        <v>45040</v>
      </c>
      <c r="C1070" s="1" t="n">
        <v>45189</v>
      </c>
      <c r="D1070" t="inlineStr">
        <is>
          <t>SÖDERMANLANDS LÄN</t>
        </is>
      </c>
      <c r="E1070" t="inlineStr">
        <is>
          <t>NYKÖPING</t>
        </is>
      </c>
      <c r="F1070" t="inlineStr">
        <is>
          <t>Holmen skog AB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18604-2023</t>
        </is>
      </c>
      <c r="B1071" s="1" t="n">
        <v>45043</v>
      </c>
      <c r="C1071" s="1" t="n">
        <v>45189</v>
      </c>
      <c r="D1071" t="inlineStr">
        <is>
          <t>SÖDERMANLANDS LÄN</t>
        </is>
      </c>
      <c r="E1071" t="inlineStr">
        <is>
          <t>NYKÖPING</t>
        </is>
      </c>
      <c r="G1071" t="n">
        <v>2.9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18688-2023</t>
        </is>
      </c>
      <c r="B1072" s="1" t="n">
        <v>45043</v>
      </c>
      <c r="C1072" s="1" t="n">
        <v>45189</v>
      </c>
      <c r="D1072" t="inlineStr">
        <is>
          <t>SÖDERMANLANDS LÄN</t>
        </is>
      </c>
      <c r="E1072" t="inlineStr">
        <is>
          <t>NYKÖPING</t>
        </is>
      </c>
      <c r="G1072" t="n">
        <v>2.5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18912-2023</t>
        </is>
      </c>
      <c r="B1073" s="1" t="n">
        <v>45044</v>
      </c>
      <c r="C1073" s="1" t="n">
        <v>45189</v>
      </c>
      <c r="D1073" t="inlineStr">
        <is>
          <t>SÖDERMANLANDS LÄN</t>
        </is>
      </c>
      <c r="E1073" t="inlineStr">
        <is>
          <t>NYKÖPING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18924-2023</t>
        </is>
      </c>
      <c r="B1074" s="1" t="n">
        <v>45044</v>
      </c>
      <c r="C1074" s="1" t="n">
        <v>45189</v>
      </c>
      <c r="D1074" t="inlineStr">
        <is>
          <t>SÖDERMANLANDS LÄN</t>
        </is>
      </c>
      <c r="E1074" t="inlineStr">
        <is>
          <t>NYKÖPING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18918-2023</t>
        </is>
      </c>
      <c r="B1075" s="1" t="n">
        <v>45044</v>
      </c>
      <c r="C1075" s="1" t="n">
        <v>45189</v>
      </c>
      <c r="D1075" t="inlineStr">
        <is>
          <t>SÖDERMANLANDS LÄN</t>
        </is>
      </c>
      <c r="E1075" t="inlineStr">
        <is>
          <t>NYKÖPING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19755-2023</t>
        </is>
      </c>
      <c r="B1076" s="1" t="n">
        <v>45051</v>
      </c>
      <c r="C1076" s="1" t="n">
        <v>45189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19775-2023</t>
        </is>
      </c>
      <c r="B1077" s="1" t="n">
        <v>45051</v>
      </c>
      <c r="C1077" s="1" t="n">
        <v>45189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19696-2023</t>
        </is>
      </c>
      <c r="B1078" s="1" t="n">
        <v>45051</v>
      </c>
      <c r="C1078" s="1" t="n">
        <v>45189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19707-2023</t>
        </is>
      </c>
      <c r="B1079" s="1" t="n">
        <v>45051</v>
      </c>
      <c r="C1079" s="1" t="n">
        <v>45189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2.9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19756-2023</t>
        </is>
      </c>
      <c r="B1080" s="1" t="n">
        <v>45051</v>
      </c>
      <c r="C1080" s="1" t="n">
        <v>45189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19763-2023</t>
        </is>
      </c>
      <c r="B1081" s="1" t="n">
        <v>45051</v>
      </c>
      <c r="C1081" s="1" t="n">
        <v>45189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1.1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19790-2023</t>
        </is>
      </c>
      <c r="B1082" s="1" t="n">
        <v>45051</v>
      </c>
      <c r="C1082" s="1" t="n">
        <v>45189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Holmen skog AB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19894-2023</t>
        </is>
      </c>
      <c r="B1083" s="1" t="n">
        <v>45054</v>
      </c>
      <c r="C1083" s="1" t="n">
        <v>45189</v>
      </c>
      <c r="D1083" t="inlineStr">
        <is>
          <t>SÖDERMANLANDS LÄN</t>
        </is>
      </c>
      <c r="E1083" t="inlineStr">
        <is>
          <t>NYKÖPING</t>
        </is>
      </c>
      <c r="G1083" t="n">
        <v>1.4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20260-2023</t>
        </is>
      </c>
      <c r="B1084" s="1" t="n">
        <v>45055</v>
      </c>
      <c r="C1084" s="1" t="n">
        <v>45189</v>
      </c>
      <c r="D1084" t="inlineStr">
        <is>
          <t>SÖDERMANLANDS LÄN</t>
        </is>
      </c>
      <c r="E1084" t="inlineStr">
        <is>
          <t>NYKÖPING</t>
        </is>
      </c>
      <c r="G1084" t="n">
        <v>5.3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20327-2023</t>
        </is>
      </c>
      <c r="B1085" s="1" t="n">
        <v>45056</v>
      </c>
      <c r="C1085" s="1" t="n">
        <v>45189</v>
      </c>
      <c r="D1085" t="inlineStr">
        <is>
          <t>SÖDERMANLANDS LÄN</t>
        </is>
      </c>
      <c r="E1085" t="inlineStr">
        <is>
          <t>NYKÖPING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20906-2023</t>
        </is>
      </c>
      <c r="B1086" s="1" t="n">
        <v>45060</v>
      </c>
      <c r="C1086" s="1" t="n">
        <v>45189</v>
      </c>
      <c r="D1086" t="inlineStr">
        <is>
          <t>SÖDERMANLANDS LÄN</t>
        </is>
      </c>
      <c r="E1086" t="inlineStr">
        <is>
          <t>NYKÖPING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21031-2023</t>
        </is>
      </c>
      <c r="B1087" s="1" t="n">
        <v>45061</v>
      </c>
      <c r="C1087" s="1" t="n">
        <v>45189</v>
      </c>
      <c r="D1087" t="inlineStr">
        <is>
          <t>SÖDERMANLANDS LÄN</t>
        </is>
      </c>
      <c r="E1087" t="inlineStr">
        <is>
          <t>NYKÖPING</t>
        </is>
      </c>
      <c r="G1087" t="n">
        <v>3.2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21059-2023</t>
        </is>
      </c>
      <c r="B1088" s="1" t="n">
        <v>45061</v>
      </c>
      <c r="C1088" s="1" t="n">
        <v>45189</v>
      </c>
      <c r="D1088" t="inlineStr">
        <is>
          <t>SÖDERMANLANDS LÄN</t>
        </is>
      </c>
      <c r="E1088" t="inlineStr">
        <is>
          <t>NYKÖPING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20985-2023</t>
        </is>
      </c>
      <c r="B1089" s="1" t="n">
        <v>45061</v>
      </c>
      <c r="C1089" s="1" t="n">
        <v>45189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Holmen skog AB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21062-2023</t>
        </is>
      </c>
      <c r="B1090" s="1" t="n">
        <v>45061</v>
      </c>
      <c r="C1090" s="1" t="n">
        <v>45189</v>
      </c>
      <c r="D1090" t="inlineStr">
        <is>
          <t>SÖDERMANLANDS LÄN</t>
        </is>
      </c>
      <c r="E1090" t="inlineStr">
        <is>
          <t>NYKÖPING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21067-2023</t>
        </is>
      </c>
      <c r="B1091" s="1" t="n">
        <v>45061</v>
      </c>
      <c r="C1091" s="1" t="n">
        <v>45189</v>
      </c>
      <c r="D1091" t="inlineStr">
        <is>
          <t>SÖDERMANLANDS LÄN</t>
        </is>
      </c>
      <c r="E1091" t="inlineStr">
        <is>
          <t>NYKÖPING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20961-2023</t>
        </is>
      </c>
      <c r="B1092" s="1" t="n">
        <v>45061</v>
      </c>
      <c r="C1092" s="1" t="n">
        <v>45189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Holmen skog AB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21058-2023</t>
        </is>
      </c>
      <c r="B1093" s="1" t="n">
        <v>45061</v>
      </c>
      <c r="C1093" s="1" t="n">
        <v>45189</v>
      </c>
      <c r="D1093" t="inlineStr">
        <is>
          <t>SÖDERMANLANDS LÄN</t>
        </is>
      </c>
      <c r="E1093" t="inlineStr">
        <is>
          <t>NYKÖPING</t>
        </is>
      </c>
      <c r="G1093" t="n">
        <v>2.4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21070-2023</t>
        </is>
      </c>
      <c r="B1094" s="1" t="n">
        <v>45061</v>
      </c>
      <c r="C1094" s="1" t="n">
        <v>45189</v>
      </c>
      <c r="D1094" t="inlineStr">
        <is>
          <t>SÖDERMANLANDS LÄN</t>
        </is>
      </c>
      <c r="E1094" t="inlineStr">
        <is>
          <t>NYKÖPING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21137-2023</t>
        </is>
      </c>
      <c r="B1095" s="1" t="n">
        <v>45062</v>
      </c>
      <c r="C1095" s="1" t="n">
        <v>45189</v>
      </c>
      <c r="D1095" t="inlineStr">
        <is>
          <t>SÖDERMANLANDS LÄN</t>
        </is>
      </c>
      <c r="E1095" t="inlineStr">
        <is>
          <t>NYKÖPING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21248-2023</t>
        </is>
      </c>
      <c r="B1096" s="1" t="n">
        <v>45062</v>
      </c>
      <c r="C1096" s="1" t="n">
        <v>45189</v>
      </c>
      <c r="D1096" t="inlineStr">
        <is>
          <t>SÖDERMANLANDS LÄN</t>
        </is>
      </c>
      <c r="E1096" t="inlineStr">
        <is>
          <t>NYKÖPING</t>
        </is>
      </c>
      <c r="G1096" t="n">
        <v>2.5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21257-2023</t>
        </is>
      </c>
      <c r="B1097" s="1" t="n">
        <v>45062</v>
      </c>
      <c r="C1097" s="1" t="n">
        <v>45189</v>
      </c>
      <c r="D1097" t="inlineStr">
        <is>
          <t>SÖDERMANLANDS LÄN</t>
        </is>
      </c>
      <c r="E1097" t="inlineStr">
        <is>
          <t>NYKÖPING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21249-2023</t>
        </is>
      </c>
      <c r="B1098" s="1" t="n">
        <v>45062</v>
      </c>
      <c r="C1098" s="1" t="n">
        <v>45189</v>
      </c>
      <c r="D1098" t="inlineStr">
        <is>
          <t>SÖDERMANLANDS LÄN</t>
        </is>
      </c>
      <c r="E1098" t="inlineStr">
        <is>
          <t>NYKÖPING</t>
        </is>
      </c>
      <c r="G1098" t="n">
        <v>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21273-2023</t>
        </is>
      </c>
      <c r="B1099" s="1" t="n">
        <v>45062</v>
      </c>
      <c r="C1099" s="1" t="n">
        <v>45189</v>
      </c>
      <c r="D1099" t="inlineStr">
        <is>
          <t>SÖDERMANLANDS LÄN</t>
        </is>
      </c>
      <c r="E1099" t="inlineStr">
        <is>
          <t>NYKÖPING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21135-2023</t>
        </is>
      </c>
      <c r="B1100" s="1" t="n">
        <v>45062</v>
      </c>
      <c r="C1100" s="1" t="n">
        <v>45189</v>
      </c>
      <c r="D1100" t="inlineStr">
        <is>
          <t>SÖDERMANLANDS LÄN</t>
        </is>
      </c>
      <c r="E1100" t="inlineStr">
        <is>
          <t>NYKÖPING</t>
        </is>
      </c>
      <c r="G1100" t="n">
        <v>3.1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21142-2023</t>
        </is>
      </c>
      <c r="B1101" s="1" t="n">
        <v>45062</v>
      </c>
      <c r="C1101" s="1" t="n">
        <v>45189</v>
      </c>
      <c r="D1101" t="inlineStr">
        <is>
          <t>SÖDERMANLANDS LÄN</t>
        </is>
      </c>
      <c r="E1101" t="inlineStr">
        <is>
          <t>NYKÖPING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21471-2023</t>
        </is>
      </c>
      <c r="B1102" s="1" t="n">
        <v>45063</v>
      </c>
      <c r="C1102" s="1" t="n">
        <v>45189</v>
      </c>
      <c r="D1102" t="inlineStr">
        <is>
          <t>SÖDERMANLANDS LÄN</t>
        </is>
      </c>
      <c r="E1102" t="inlineStr">
        <is>
          <t>NYKÖPING</t>
        </is>
      </c>
      <c r="F1102" t="inlineStr">
        <is>
          <t>Kyrkan</t>
        </is>
      </c>
      <c r="G1102" t="n">
        <v>7.3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22326-2023</t>
        </is>
      </c>
      <c r="B1103" s="1" t="n">
        <v>45068</v>
      </c>
      <c r="C1103" s="1" t="n">
        <v>45189</v>
      </c>
      <c r="D1103" t="inlineStr">
        <is>
          <t>SÖDERMANLANDS LÄN</t>
        </is>
      </c>
      <c r="E1103" t="inlineStr">
        <is>
          <t>NYKÖPING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22324-2023</t>
        </is>
      </c>
      <c r="B1104" s="1" t="n">
        <v>45068</v>
      </c>
      <c r="C1104" s="1" t="n">
        <v>45189</v>
      </c>
      <c r="D1104" t="inlineStr">
        <is>
          <t>SÖDERMANLANDS LÄN</t>
        </is>
      </c>
      <c r="E1104" t="inlineStr">
        <is>
          <t>NYKÖPING</t>
        </is>
      </c>
      <c r="G1104" t="n">
        <v>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22176-2023</t>
        </is>
      </c>
      <c r="B1105" s="1" t="n">
        <v>45069</v>
      </c>
      <c r="C1105" s="1" t="n">
        <v>45189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22165-2023</t>
        </is>
      </c>
      <c r="B1106" s="1" t="n">
        <v>45069</v>
      </c>
      <c r="C1106" s="1" t="n">
        <v>45189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22417-2023</t>
        </is>
      </c>
      <c r="B1107" s="1" t="n">
        <v>45070</v>
      </c>
      <c r="C1107" s="1" t="n">
        <v>45189</v>
      </c>
      <c r="D1107" t="inlineStr">
        <is>
          <t>SÖDERMANLANDS LÄN</t>
        </is>
      </c>
      <c r="E1107" t="inlineStr">
        <is>
          <t>NYKÖPING</t>
        </is>
      </c>
      <c r="F1107" t="inlineStr">
        <is>
          <t>Holmen skog AB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22972-2023</t>
        </is>
      </c>
      <c r="B1108" s="1" t="n">
        <v>45072</v>
      </c>
      <c r="C1108" s="1" t="n">
        <v>45189</v>
      </c>
      <c r="D1108" t="inlineStr">
        <is>
          <t>SÖDERMANLANDS LÄN</t>
        </is>
      </c>
      <c r="E1108" t="inlineStr">
        <is>
          <t>NYKÖPING</t>
        </is>
      </c>
      <c r="G1108" t="n">
        <v>4.1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23116-2023</t>
        </is>
      </c>
      <c r="B1109" s="1" t="n">
        <v>45075</v>
      </c>
      <c r="C1109" s="1" t="n">
        <v>45189</v>
      </c>
      <c r="D1109" t="inlineStr">
        <is>
          <t>SÖDERMANLANDS LÄN</t>
        </is>
      </c>
      <c r="E1109" t="inlineStr">
        <is>
          <t>NYKÖPING</t>
        </is>
      </c>
      <c r="F1109" t="inlineStr">
        <is>
          <t>Sveaskog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23189-2023</t>
        </is>
      </c>
      <c r="B1110" s="1" t="n">
        <v>45075</v>
      </c>
      <c r="C1110" s="1" t="n">
        <v>45189</v>
      </c>
      <c r="D1110" t="inlineStr">
        <is>
          <t>SÖDERMANLANDS LÄN</t>
        </is>
      </c>
      <c r="E1110" t="inlineStr">
        <is>
          <t>NYKÖPING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23114-2023</t>
        </is>
      </c>
      <c r="B1111" s="1" t="n">
        <v>45075</v>
      </c>
      <c r="C1111" s="1" t="n">
        <v>45189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23118-2023</t>
        </is>
      </c>
      <c r="B1112" s="1" t="n">
        <v>45075</v>
      </c>
      <c r="C1112" s="1" t="n">
        <v>45189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Sveaskog</t>
        </is>
      </c>
      <c r="G1112" t="n">
        <v>1.5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23327-2023</t>
        </is>
      </c>
      <c r="B1113" s="1" t="n">
        <v>45076</v>
      </c>
      <c r="C1113" s="1" t="n">
        <v>45189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Övriga Aktiebolag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24409-2023</t>
        </is>
      </c>
      <c r="B1114" s="1" t="n">
        <v>45076</v>
      </c>
      <c r="C1114" s="1" t="n">
        <v>45189</v>
      </c>
      <c r="D1114" t="inlineStr">
        <is>
          <t>SÖDERMANLANDS LÄN</t>
        </is>
      </c>
      <c r="E1114" t="inlineStr">
        <is>
          <t>NYKÖPING</t>
        </is>
      </c>
      <c r="F1114" t="inlineStr">
        <is>
          <t>Allmännings- och besparingsskogar</t>
        </is>
      </c>
      <c r="G1114" t="n">
        <v>19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23566-2023</t>
        </is>
      </c>
      <c r="B1115" s="1" t="n">
        <v>45077</v>
      </c>
      <c r="C1115" s="1" t="n">
        <v>45189</v>
      </c>
      <c r="D1115" t="inlineStr">
        <is>
          <t>SÖDERMANLANDS LÄN</t>
        </is>
      </c>
      <c r="E1115" t="inlineStr">
        <is>
          <t>NYKÖPING</t>
        </is>
      </c>
      <c r="G1115" t="n">
        <v>7.4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23593-2023</t>
        </is>
      </c>
      <c r="B1116" s="1" t="n">
        <v>45077</v>
      </c>
      <c r="C1116" s="1" t="n">
        <v>45189</v>
      </c>
      <c r="D1116" t="inlineStr">
        <is>
          <t>SÖDERMANLANDS LÄN</t>
        </is>
      </c>
      <c r="E1116" t="inlineStr">
        <is>
          <t>NYKÖPING</t>
        </is>
      </c>
      <c r="F1116" t="inlineStr">
        <is>
          <t>Holmen skog AB</t>
        </is>
      </c>
      <c r="G1116" t="n">
        <v>0.9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24447-2023</t>
        </is>
      </c>
      <c r="B1117" s="1" t="n">
        <v>45082</v>
      </c>
      <c r="C1117" s="1" t="n">
        <v>45189</v>
      </c>
      <c r="D1117" t="inlineStr">
        <is>
          <t>SÖDERMANLANDS LÄN</t>
        </is>
      </c>
      <c r="E1117" t="inlineStr">
        <is>
          <t>NYKÖPING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24891-2023</t>
        </is>
      </c>
      <c r="B1118" s="1" t="n">
        <v>45085</v>
      </c>
      <c r="C1118" s="1" t="n">
        <v>45189</v>
      </c>
      <c r="D1118" t="inlineStr">
        <is>
          <t>SÖDERMANLANDS LÄN</t>
        </is>
      </c>
      <c r="E1118" t="inlineStr">
        <is>
          <t>NYKÖPING</t>
        </is>
      </c>
      <c r="F1118" t="inlineStr">
        <is>
          <t>Holmen skog AB</t>
        </is>
      </c>
      <c r="G1118" t="n">
        <v>1.7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26574-2023</t>
        </is>
      </c>
      <c r="B1119" s="1" t="n">
        <v>45090</v>
      </c>
      <c r="C1119" s="1" t="n">
        <v>45189</v>
      </c>
      <c r="D1119" t="inlineStr">
        <is>
          <t>SÖDERMANLANDS LÄN</t>
        </is>
      </c>
      <c r="E1119" t="inlineStr">
        <is>
          <t>NYKÖPING</t>
        </is>
      </c>
      <c r="G1119" t="n">
        <v>3.9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26561-2023</t>
        </is>
      </c>
      <c r="B1120" s="1" t="n">
        <v>45092</v>
      </c>
      <c r="C1120" s="1" t="n">
        <v>45189</v>
      </c>
      <c r="D1120" t="inlineStr">
        <is>
          <t>SÖDERMANLANDS LÄN</t>
        </is>
      </c>
      <c r="E1120" t="inlineStr">
        <is>
          <t>NYKÖPING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26948-2023</t>
        </is>
      </c>
      <c r="B1121" s="1" t="n">
        <v>45093</v>
      </c>
      <c r="C1121" s="1" t="n">
        <v>45189</v>
      </c>
      <c r="D1121" t="inlineStr">
        <is>
          <t>SÖDERMANLANDS LÄN</t>
        </is>
      </c>
      <c r="E1121" t="inlineStr">
        <is>
          <t>NYKÖPING</t>
        </is>
      </c>
      <c r="G1121" t="n">
        <v>5.5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27187-2023</t>
        </is>
      </c>
      <c r="B1122" s="1" t="n">
        <v>45096</v>
      </c>
      <c r="C1122" s="1" t="n">
        <v>45189</v>
      </c>
      <c r="D1122" t="inlineStr">
        <is>
          <t>SÖDERMANLANDS LÄN</t>
        </is>
      </c>
      <c r="E1122" t="inlineStr">
        <is>
          <t>NYKÖPING</t>
        </is>
      </c>
      <c r="G1122" t="n">
        <v>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27206-2023</t>
        </is>
      </c>
      <c r="B1123" s="1" t="n">
        <v>45096</v>
      </c>
      <c r="C1123" s="1" t="n">
        <v>45189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27223-2023</t>
        </is>
      </c>
      <c r="B1124" s="1" t="n">
        <v>45096</v>
      </c>
      <c r="C1124" s="1" t="n">
        <v>45189</v>
      </c>
      <c r="D1124" t="inlineStr">
        <is>
          <t>SÖDERMANLANDS LÄN</t>
        </is>
      </c>
      <c r="E1124" t="inlineStr">
        <is>
          <t>NYKÖPING</t>
        </is>
      </c>
      <c r="F1124" t="inlineStr">
        <is>
          <t>Övriga Aktiebolag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28973-2023</t>
        </is>
      </c>
      <c r="B1125" s="1" t="n">
        <v>45096</v>
      </c>
      <c r="C1125" s="1" t="n">
        <v>45189</v>
      </c>
      <c r="D1125" t="inlineStr">
        <is>
          <t>SÖDERMANLANDS LÄN</t>
        </is>
      </c>
      <c r="E1125" t="inlineStr">
        <is>
          <t>NYKÖPING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27243-2023</t>
        </is>
      </c>
      <c r="B1126" s="1" t="n">
        <v>45096</v>
      </c>
      <c r="C1126" s="1" t="n">
        <v>45189</v>
      </c>
      <c r="D1126" t="inlineStr">
        <is>
          <t>SÖDERMANLANDS LÄN</t>
        </is>
      </c>
      <c r="E1126" t="inlineStr">
        <is>
          <t>NYKÖPING</t>
        </is>
      </c>
      <c r="F1126" t="inlineStr">
        <is>
          <t>Övriga Aktiebolag</t>
        </is>
      </c>
      <c r="G1126" t="n">
        <v>2.5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27190-2023</t>
        </is>
      </c>
      <c r="B1127" s="1" t="n">
        <v>45096</v>
      </c>
      <c r="C1127" s="1" t="n">
        <v>45189</v>
      </c>
      <c r="D1127" t="inlineStr">
        <is>
          <t>SÖDERMANLANDS LÄN</t>
        </is>
      </c>
      <c r="E1127" t="inlineStr">
        <is>
          <t>NYKÖPING</t>
        </is>
      </c>
      <c r="G1127" t="n">
        <v>8.5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28968-2023</t>
        </is>
      </c>
      <c r="B1128" s="1" t="n">
        <v>45096</v>
      </c>
      <c r="C1128" s="1" t="n">
        <v>45189</v>
      </c>
      <c r="D1128" t="inlineStr">
        <is>
          <t>SÖDERMANLANDS LÄN</t>
        </is>
      </c>
      <c r="E1128" t="inlineStr">
        <is>
          <t>NYKÖPING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27894-2023</t>
        </is>
      </c>
      <c r="B1129" s="1" t="n">
        <v>45098</v>
      </c>
      <c r="C1129" s="1" t="n">
        <v>45189</v>
      </c>
      <c r="D1129" t="inlineStr">
        <is>
          <t>SÖDERMANLANDS LÄN</t>
        </is>
      </c>
      <c r="E1129" t="inlineStr">
        <is>
          <t>NYKÖPING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27946-2023</t>
        </is>
      </c>
      <c r="B1130" s="1" t="n">
        <v>45098</v>
      </c>
      <c r="C1130" s="1" t="n">
        <v>45189</v>
      </c>
      <c r="D1130" t="inlineStr">
        <is>
          <t>SÖDERMANLANDS LÄN</t>
        </is>
      </c>
      <c r="E1130" t="inlineStr">
        <is>
          <t>NYKÖPING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27889-2023</t>
        </is>
      </c>
      <c r="B1131" s="1" t="n">
        <v>45098</v>
      </c>
      <c r="C1131" s="1" t="n">
        <v>45189</v>
      </c>
      <c r="D1131" t="inlineStr">
        <is>
          <t>SÖDERMANLANDS LÄN</t>
        </is>
      </c>
      <c r="E1131" t="inlineStr">
        <is>
          <t>NYKÖPING</t>
        </is>
      </c>
      <c r="G1131" t="n">
        <v>4.1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27937-2023</t>
        </is>
      </c>
      <c r="B1132" s="1" t="n">
        <v>45098</v>
      </c>
      <c r="C1132" s="1" t="n">
        <v>45189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27944-2023</t>
        </is>
      </c>
      <c r="B1133" s="1" t="n">
        <v>45098</v>
      </c>
      <c r="C1133" s="1" t="n">
        <v>45189</v>
      </c>
      <c r="D1133" t="inlineStr">
        <is>
          <t>SÖDERMANLANDS LÄN</t>
        </is>
      </c>
      <c r="E1133" t="inlineStr">
        <is>
          <t>NYKÖPING</t>
        </is>
      </c>
      <c r="G1133" t="n">
        <v>0.5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27796-2023</t>
        </is>
      </c>
      <c r="B1134" s="1" t="n">
        <v>45098</v>
      </c>
      <c r="C1134" s="1" t="n">
        <v>45189</v>
      </c>
      <c r="D1134" t="inlineStr">
        <is>
          <t>SÖDERMANLANDS LÄN</t>
        </is>
      </c>
      <c r="E1134" t="inlineStr">
        <is>
          <t>NYKÖPING</t>
        </is>
      </c>
      <c r="G1134" t="n">
        <v>1.5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27915-2023</t>
        </is>
      </c>
      <c r="B1135" s="1" t="n">
        <v>45098</v>
      </c>
      <c r="C1135" s="1" t="n">
        <v>45189</v>
      </c>
      <c r="D1135" t="inlineStr">
        <is>
          <t>SÖDERMANLANDS LÄN</t>
        </is>
      </c>
      <c r="E1135" t="inlineStr">
        <is>
          <t>NYKÖPING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27924-2023</t>
        </is>
      </c>
      <c r="B1136" s="1" t="n">
        <v>45098</v>
      </c>
      <c r="C1136" s="1" t="n">
        <v>45189</v>
      </c>
      <c r="D1136" t="inlineStr">
        <is>
          <t>SÖDERMANLANDS LÄN</t>
        </is>
      </c>
      <c r="E1136" t="inlineStr">
        <is>
          <t>NYKÖPING</t>
        </is>
      </c>
      <c r="G1136" t="n">
        <v>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27933-2023</t>
        </is>
      </c>
      <c r="B1137" s="1" t="n">
        <v>45098</v>
      </c>
      <c r="C1137" s="1" t="n">
        <v>45189</v>
      </c>
      <c r="D1137" t="inlineStr">
        <is>
          <t>SÖDERMANLANDS LÄN</t>
        </is>
      </c>
      <c r="E1137" t="inlineStr">
        <is>
          <t>NYKÖPING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28638-2023</t>
        </is>
      </c>
      <c r="B1138" s="1" t="n">
        <v>45103</v>
      </c>
      <c r="C1138" s="1" t="n">
        <v>45189</v>
      </c>
      <c r="D1138" t="inlineStr">
        <is>
          <t>SÖDERMANLANDS LÄN</t>
        </is>
      </c>
      <c r="E1138" t="inlineStr">
        <is>
          <t>NYKÖPING</t>
        </is>
      </c>
      <c r="G1138" t="n">
        <v>3.4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29551-2023</t>
        </is>
      </c>
      <c r="B1139" s="1" t="n">
        <v>45106</v>
      </c>
      <c r="C1139" s="1" t="n">
        <v>45189</v>
      </c>
      <c r="D1139" t="inlineStr">
        <is>
          <t>SÖDERMANLANDS LÄN</t>
        </is>
      </c>
      <c r="E1139" t="inlineStr">
        <is>
          <t>NYKÖPING</t>
        </is>
      </c>
      <c r="G1139" t="n">
        <v>5.1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31868-2023</t>
        </is>
      </c>
      <c r="B1140" s="1" t="n">
        <v>45107</v>
      </c>
      <c r="C1140" s="1" t="n">
        <v>45189</v>
      </c>
      <c r="D1140" t="inlineStr">
        <is>
          <t>SÖDERMANLANDS LÄN</t>
        </is>
      </c>
      <c r="E1140" t="inlineStr">
        <is>
          <t>NYKÖPING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30859-2023</t>
        </is>
      </c>
      <c r="B1141" s="1" t="n">
        <v>45110</v>
      </c>
      <c r="C1141" s="1" t="n">
        <v>45189</v>
      </c>
      <c r="D1141" t="inlineStr">
        <is>
          <t>SÖDERMANLANDS LÄN</t>
        </is>
      </c>
      <c r="E1141" t="inlineStr">
        <is>
          <t>NYKÖPING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30855-2023</t>
        </is>
      </c>
      <c r="B1142" s="1" t="n">
        <v>45110</v>
      </c>
      <c r="C1142" s="1" t="n">
        <v>45189</v>
      </c>
      <c r="D1142" t="inlineStr">
        <is>
          <t>SÖDERMANLANDS LÄN</t>
        </is>
      </c>
      <c r="E1142" t="inlineStr">
        <is>
          <t>NYKÖPING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30860-2023</t>
        </is>
      </c>
      <c r="B1143" s="1" t="n">
        <v>45110</v>
      </c>
      <c r="C1143" s="1" t="n">
        <v>45189</v>
      </c>
      <c r="D1143" t="inlineStr">
        <is>
          <t>SÖDERMANLANDS LÄN</t>
        </is>
      </c>
      <c r="E1143" t="inlineStr">
        <is>
          <t>NYKÖPING</t>
        </is>
      </c>
      <c r="G1143" t="n">
        <v>11.5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30820-2023</t>
        </is>
      </c>
      <c r="B1144" s="1" t="n">
        <v>45112</v>
      </c>
      <c r="C1144" s="1" t="n">
        <v>45189</v>
      </c>
      <c r="D1144" t="inlineStr">
        <is>
          <t>SÖDERMANLANDS LÄN</t>
        </is>
      </c>
      <c r="E1144" t="inlineStr">
        <is>
          <t>NYKÖPING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30639-2023</t>
        </is>
      </c>
      <c r="B1145" s="1" t="n">
        <v>45112</v>
      </c>
      <c r="C1145" s="1" t="n">
        <v>45189</v>
      </c>
      <c r="D1145" t="inlineStr">
        <is>
          <t>SÖDERMANLANDS LÄN</t>
        </is>
      </c>
      <c r="E1145" t="inlineStr">
        <is>
          <t>NYKÖPING</t>
        </is>
      </c>
      <c r="G1145" t="n">
        <v>2.8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33126-2023</t>
        </is>
      </c>
      <c r="B1146" s="1" t="n">
        <v>45114</v>
      </c>
      <c r="C1146" s="1" t="n">
        <v>45189</v>
      </c>
      <c r="D1146" t="inlineStr">
        <is>
          <t>SÖDERMANLANDS LÄN</t>
        </is>
      </c>
      <c r="E1146" t="inlineStr">
        <is>
          <t>NYKÖPING</t>
        </is>
      </c>
      <c r="G1146" t="n">
        <v>3.8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33669-2023</t>
        </is>
      </c>
      <c r="B1147" s="1" t="n">
        <v>45132</v>
      </c>
      <c r="C1147" s="1" t="n">
        <v>45189</v>
      </c>
      <c r="D1147" t="inlineStr">
        <is>
          <t>SÖDERMANLANDS LÄN</t>
        </is>
      </c>
      <c r="E1147" t="inlineStr">
        <is>
          <t>NYKÖPING</t>
        </is>
      </c>
      <c r="F1147" t="inlineStr">
        <is>
          <t>Holmen skog AB</t>
        </is>
      </c>
      <c r="G1147" t="n">
        <v>5.9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34289-2023</t>
        </is>
      </c>
      <c r="B1148" s="1" t="n">
        <v>45138</v>
      </c>
      <c r="C1148" s="1" t="n">
        <v>45189</v>
      </c>
      <c r="D1148" t="inlineStr">
        <is>
          <t>SÖDERMANLANDS LÄN</t>
        </is>
      </c>
      <c r="E1148" t="inlineStr">
        <is>
          <t>NYKÖPING</t>
        </is>
      </c>
      <c r="G1148" t="n">
        <v>1.5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34751-2023</t>
        </is>
      </c>
      <c r="B1149" s="1" t="n">
        <v>45140</v>
      </c>
      <c r="C1149" s="1" t="n">
        <v>45189</v>
      </c>
      <c r="D1149" t="inlineStr">
        <is>
          <t>SÖDERMANLANDS LÄN</t>
        </is>
      </c>
      <c r="E1149" t="inlineStr">
        <is>
          <t>NYKÖPING</t>
        </is>
      </c>
      <c r="G1149" t="n">
        <v>3.8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35020-2023</t>
        </is>
      </c>
      <c r="B1150" s="1" t="n">
        <v>45143</v>
      </c>
      <c r="C1150" s="1" t="n">
        <v>45189</v>
      </c>
      <c r="D1150" t="inlineStr">
        <is>
          <t>SÖDERMANLANDS LÄN</t>
        </is>
      </c>
      <c r="E1150" t="inlineStr">
        <is>
          <t>NYKÖPING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35019-2023</t>
        </is>
      </c>
      <c r="B1151" s="1" t="n">
        <v>45143</v>
      </c>
      <c r="C1151" s="1" t="n">
        <v>45189</v>
      </c>
      <c r="D1151" t="inlineStr">
        <is>
          <t>SÖDERMANLANDS LÄN</t>
        </is>
      </c>
      <c r="E1151" t="inlineStr">
        <is>
          <t>NYKÖPING</t>
        </is>
      </c>
      <c r="G1151" t="n">
        <v>2.2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35458-2023</t>
        </is>
      </c>
      <c r="B1152" s="1" t="n">
        <v>45146</v>
      </c>
      <c r="C1152" s="1" t="n">
        <v>45189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1.1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35444-2023</t>
        </is>
      </c>
      <c r="B1153" s="1" t="n">
        <v>45146</v>
      </c>
      <c r="C1153" s="1" t="n">
        <v>45189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35469-2023</t>
        </is>
      </c>
      <c r="B1154" s="1" t="n">
        <v>45146</v>
      </c>
      <c r="C1154" s="1" t="n">
        <v>45189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35346-2023</t>
        </is>
      </c>
      <c r="B1155" s="1" t="n">
        <v>45146</v>
      </c>
      <c r="C1155" s="1" t="n">
        <v>45189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35416-2023</t>
        </is>
      </c>
      <c r="B1156" s="1" t="n">
        <v>45146</v>
      </c>
      <c r="C1156" s="1" t="n">
        <v>45189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Holmen skog AB</t>
        </is>
      </c>
      <c r="G1156" t="n">
        <v>2.4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35951-2023</t>
        </is>
      </c>
      <c r="B1157" s="1" t="n">
        <v>45148</v>
      </c>
      <c r="C1157" s="1" t="n">
        <v>45189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35928-2023</t>
        </is>
      </c>
      <c r="B1158" s="1" t="n">
        <v>45148</v>
      </c>
      <c r="C1158" s="1" t="n">
        <v>45189</v>
      </c>
      <c r="D1158" t="inlineStr">
        <is>
          <t>SÖDERMANLANDS LÄN</t>
        </is>
      </c>
      <c r="E1158" t="inlineStr">
        <is>
          <t>NYKÖPING</t>
        </is>
      </c>
      <c r="F1158" t="inlineStr">
        <is>
          <t>Kommuner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36003-2023</t>
        </is>
      </c>
      <c r="B1159" s="1" t="n">
        <v>45148</v>
      </c>
      <c r="C1159" s="1" t="n">
        <v>45189</v>
      </c>
      <c r="D1159" t="inlineStr">
        <is>
          <t>SÖDERMANLANDS LÄN</t>
        </is>
      </c>
      <c r="E1159" t="inlineStr">
        <is>
          <t>NYKÖPING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36015-2023</t>
        </is>
      </c>
      <c r="B1160" s="1" t="n">
        <v>45148</v>
      </c>
      <c r="C1160" s="1" t="n">
        <v>45189</v>
      </c>
      <c r="D1160" t="inlineStr">
        <is>
          <t>SÖDERMANLANDS LÄN</t>
        </is>
      </c>
      <c r="E1160" t="inlineStr">
        <is>
          <t>NYKÖPING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35899-2023</t>
        </is>
      </c>
      <c r="B1161" s="1" t="n">
        <v>45148</v>
      </c>
      <c r="C1161" s="1" t="n">
        <v>45189</v>
      </c>
      <c r="D1161" t="inlineStr">
        <is>
          <t>SÖDERMANLANDS LÄN</t>
        </is>
      </c>
      <c r="E1161" t="inlineStr">
        <is>
          <t>NYKÖPING</t>
        </is>
      </c>
      <c r="F1161" t="inlineStr">
        <is>
          <t>Kommuner</t>
        </is>
      </c>
      <c r="G1161" t="n">
        <v>4.5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36000-2023</t>
        </is>
      </c>
      <c r="B1162" s="1" t="n">
        <v>45148</v>
      </c>
      <c r="C1162" s="1" t="n">
        <v>45189</v>
      </c>
      <c r="D1162" t="inlineStr">
        <is>
          <t>SÖDERMANLANDS LÄN</t>
        </is>
      </c>
      <c r="E1162" t="inlineStr">
        <is>
          <t>NYKÖPING</t>
        </is>
      </c>
      <c r="G1162" t="n">
        <v>2.2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36145-2023</t>
        </is>
      </c>
      <c r="B1163" s="1" t="n">
        <v>45149</v>
      </c>
      <c r="C1163" s="1" t="n">
        <v>45189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1.3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36175-2023</t>
        </is>
      </c>
      <c r="B1164" s="1" t="n">
        <v>45149</v>
      </c>
      <c r="C1164" s="1" t="n">
        <v>45189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4.8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36163-2023</t>
        </is>
      </c>
      <c r="B1165" s="1" t="n">
        <v>45149</v>
      </c>
      <c r="C1165" s="1" t="n">
        <v>45189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36714-2023</t>
        </is>
      </c>
      <c r="B1166" s="1" t="n">
        <v>45153</v>
      </c>
      <c r="C1166" s="1" t="n">
        <v>45189</v>
      </c>
      <c r="D1166" t="inlineStr">
        <is>
          <t>SÖDERMANLANDS LÄN</t>
        </is>
      </c>
      <c r="E1166" t="inlineStr">
        <is>
          <t>NYKÖPING</t>
        </is>
      </c>
      <c r="F1166" t="inlineStr">
        <is>
          <t>Kommuner</t>
        </is>
      </c>
      <c r="G1166" t="n">
        <v>4.7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37673-2023</t>
        </is>
      </c>
      <c r="B1167" s="1" t="n">
        <v>45159</v>
      </c>
      <c r="C1167" s="1" t="n">
        <v>45189</v>
      </c>
      <c r="D1167" t="inlineStr">
        <is>
          <t>SÖDERMANLANDS LÄN</t>
        </is>
      </c>
      <c r="E1167" t="inlineStr">
        <is>
          <t>NYKÖPING</t>
        </is>
      </c>
      <c r="G1167" t="n">
        <v>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37733-2023</t>
        </is>
      </c>
      <c r="B1168" s="1" t="n">
        <v>45159</v>
      </c>
      <c r="C1168" s="1" t="n">
        <v>45189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3.9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38034-2023</t>
        </is>
      </c>
      <c r="B1169" s="1" t="n">
        <v>45160</v>
      </c>
      <c r="C1169" s="1" t="n">
        <v>45189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38054-2023</t>
        </is>
      </c>
      <c r="B1170" s="1" t="n">
        <v>45160</v>
      </c>
      <c r="C1170" s="1" t="n">
        <v>45189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38063-2023</t>
        </is>
      </c>
      <c r="B1171" s="1" t="n">
        <v>45160</v>
      </c>
      <c r="C1171" s="1" t="n">
        <v>45189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Kommuner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38129-2023</t>
        </is>
      </c>
      <c r="B1172" s="1" t="n">
        <v>45161</v>
      </c>
      <c r="C1172" s="1" t="n">
        <v>45189</v>
      </c>
      <c r="D1172" t="inlineStr">
        <is>
          <t>SÖDERMANLANDS LÄN</t>
        </is>
      </c>
      <c r="E1172" t="inlineStr">
        <is>
          <t>NYKÖPING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38735-2023</t>
        </is>
      </c>
      <c r="B1173" s="1" t="n">
        <v>45161</v>
      </c>
      <c r="C1173" s="1" t="n">
        <v>45189</v>
      </c>
      <c r="D1173" t="inlineStr">
        <is>
          <t>SÖDERMANLANDS LÄN</t>
        </is>
      </c>
      <c r="E1173" t="inlineStr">
        <is>
          <t>NYKÖPING</t>
        </is>
      </c>
      <c r="G1173" t="n">
        <v>0.4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38745-2023</t>
        </is>
      </c>
      <c r="B1174" s="1" t="n">
        <v>45161</v>
      </c>
      <c r="C1174" s="1" t="n">
        <v>45189</v>
      </c>
      <c r="D1174" t="inlineStr">
        <is>
          <t>SÖDERMANLANDS LÄN</t>
        </is>
      </c>
      <c r="E1174" t="inlineStr">
        <is>
          <t>NYKÖPING</t>
        </is>
      </c>
      <c r="G1174" t="n">
        <v>2.2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38741-2023</t>
        </is>
      </c>
      <c r="B1175" s="1" t="n">
        <v>45161</v>
      </c>
      <c r="C1175" s="1" t="n">
        <v>45189</v>
      </c>
      <c r="D1175" t="inlineStr">
        <is>
          <t>SÖDERMANLANDS LÄN</t>
        </is>
      </c>
      <c r="E1175" t="inlineStr">
        <is>
          <t>NYKÖPING</t>
        </is>
      </c>
      <c r="G1175" t="n">
        <v>3.9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38472-2023</t>
        </is>
      </c>
      <c r="B1176" s="1" t="n">
        <v>45162</v>
      </c>
      <c r="C1176" s="1" t="n">
        <v>45189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38512-2023</t>
        </is>
      </c>
      <c r="B1177" s="1" t="n">
        <v>45162</v>
      </c>
      <c r="C1177" s="1" t="n">
        <v>45189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Kommuner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38508-2023</t>
        </is>
      </c>
      <c r="B1178" s="1" t="n">
        <v>45162</v>
      </c>
      <c r="C1178" s="1" t="n">
        <v>45189</v>
      </c>
      <c r="D1178" t="inlineStr">
        <is>
          <t>SÖDERMANLANDS LÄN</t>
        </is>
      </c>
      <c r="E1178" t="inlineStr">
        <is>
          <t>NYKÖPING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38607-2023</t>
        </is>
      </c>
      <c r="B1179" s="1" t="n">
        <v>45162</v>
      </c>
      <c r="C1179" s="1" t="n">
        <v>45189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Kommuner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38858-2023</t>
        </is>
      </c>
      <c r="B1180" s="1" t="n">
        <v>45163</v>
      </c>
      <c r="C1180" s="1" t="n">
        <v>45189</v>
      </c>
      <c r="D1180" t="inlineStr">
        <is>
          <t>SÖDERMANLANDS LÄN</t>
        </is>
      </c>
      <c r="E1180" t="inlineStr">
        <is>
          <t>NYKÖPING</t>
        </is>
      </c>
      <c r="F1180" t="inlineStr">
        <is>
          <t>Holmen skog AB</t>
        </is>
      </c>
      <c r="G1180" t="n">
        <v>2.5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38728-2023</t>
        </is>
      </c>
      <c r="B1181" s="1" t="n">
        <v>45163</v>
      </c>
      <c r="C1181" s="1" t="n">
        <v>45189</v>
      </c>
      <c r="D1181" t="inlineStr">
        <is>
          <t>SÖDERMANLANDS LÄN</t>
        </is>
      </c>
      <c r="E1181" t="inlineStr">
        <is>
          <t>NYKÖPING</t>
        </is>
      </c>
      <c r="G1181" t="n">
        <v>8.800000000000001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45189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45189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45189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45189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45189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41288-2023</t>
        </is>
      </c>
      <c r="B1187" s="1" t="n">
        <v>45174</v>
      </c>
      <c r="C1187" s="1" t="n">
        <v>45189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>
      <c r="A1188" t="inlineStr">
        <is>
          <t>A 42760-2023</t>
        </is>
      </c>
      <c r="B1188" s="1" t="n">
        <v>45181</v>
      </c>
      <c r="C1188" s="1" t="n">
        <v>45189</v>
      </c>
      <c r="D1188" t="inlineStr">
        <is>
          <t>SÖDERMANLANDS LÄN</t>
        </is>
      </c>
      <c r="E1188" t="inlineStr">
        <is>
          <t>NYKÖPING</t>
        </is>
      </c>
      <c r="G1188" t="n">
        <v>2.8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2023-09-20T07:11:24Z</dcterms:created>
  <dcterms:modified xmlns:dcterms="http://purl.org/dc/terms/" xmlns:xsi="http://www.w3.org/2001/XMLSchema-instance" xsi:type="dcterms:W3CDTF">2023-09-20T07:11:24Z</dcterms:modified>
</cp:coreProperties>
</file>