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45222</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45222</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45222</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45222</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45222</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45222</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45222</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45222</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45222</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34205-2021</t>
        </is>
      </c>
      <c r="B14" s="1" t="n">
        <v>44379</v>
      </c>
      <c r="C14" s="1" t="n">
        <v>45222</v>
      </c>
      <c r="D14" t="inlineStr">
        <is>
          <t>ÖREBRO LÄN</t>
        </is>
      </c>
      <c r="E14" t="inlineStr">
        <is>
          <t>ÖREBRO</t>
        </is>
      </c>
      <c r="G14" t="n">
        <v>0.9</v>
      </c>
      <c r="H14" t="n">
        <v>5</v>
      </c>
      <c r="I14" t="n">
        <v>2</v>
      </c>
      <c r="J14" t="n">
        <v>2</v>
      </c>
      <c r="K14" t="n">
        <v>0</v>
      </c>
      <c r="L14" t="n">
        <v>2</v>
      </c>
      <c r="M14" t="n">
        <v>0</v>
      </c>
      <c r="N14" t="n">
        <v>0</v>
      </c>
      <c r="O14" t="n">
        <v>4</v>
      </c>
      <c r="P14" t="n">
        <v>2</v>
      </c>
      <c r="Q14" t="n">
        <v>9</v>
      </c>
      <c r="R14" s="2" t="inlineStr">
        <is>
          <t>Ask
Tornseglare
Nordfladdermus
Svinrot
Honungsvaxskivling
Sotriska
Dvärgpipistrell
Större brunfladdermus
Grönvit nattviol</t>
        </is>
      </c>
      <c r="S14">
        <f>HYPERLINK("https://klasma.github.io/Logging_1880/artfynd/A 34205-2021 artfynd.xlsx", "A 34205-2021")</f>
        <v/>
      </c>
      <c r="T14">
        <f>HYPERLINK("https://klasma.github.io/Logging_1880/kartor/A 34205-2021 karta.png", "A 34205-2021")</f>
        <v/>
      </c>
      <c r="V14">
        <f>HYPERLINK("https://klasma.github.io/Logging_1880/klagomål/A 34205-2021 FSC-klagomål.docx", "A 34205-2021")</f>
        <v/>
      </c>
      <c r="W14">
        <f>HYPERLINK("https://klasma.github.io/Logging_1880/klagomålsmail/A 34205-2021 FSC-klagomål mail.docx", "A 34205-2021")</f>
        <v/>
      </c>
      <c r="X14">
        <f>HYPERLINK("https://klasma.github.io/Logging_1880/tillsyn/A 34205-2021 tillsynsbegäran.docx", "A 34205-2021")</f>
        <v/>
      </c>
      <c r="Y14">
        <f>HYPERLINK("https://klasma.github.io/Logging_1880/tillsynsmail/A 34205-2021 tillsynsbegäran mail.docx", "A 34205-2021")</f>
        <v/>
      </c>
    </row>
    <row r="15" ht="15" customHeight="1">
      <c r="A15" t="inlineStr">
        <is>
          <t>A 8503-2019</t>
        </is>
      </c>
      <c r="B15" s="1" t="n">
        <v>43502</v>
      </c>
      <c r="C15" s="1" t="n">
        <v>45222</v>
      </c>
      <c r="D15" t="inlineStr">
        <is>
          <t>ÖREBRO LÄN</t>
        </is>
      </c>
      <c r="E15" t="inlineStr">
        <is>
          <t>HÄLLEFORS</t>
        </is>
      </c>
      <c r="G15" t="n">
        <v>12.1</v>
      </c>
      <c r="H15" t="n">
        <v>1</v>
      </c>
      <c r="I15" t="n">
        <v>4</v>
      </c>
      <c r="J15" t="n">
        <v>4</v>
      </c>
      <c r="K15" t="n">
        <v>0</v>
      </c>
      <c r="L15" t="n">
        <v>0</v>
      </c>
      <c r="M15" t="n">
        <v>0</v>
      </c>
      <c r="N15" t="n">
        <v>0</v>
      </c>
      <c r="O15" t="n">
        <v>4</v>
      </c>
      <c r="P15" t="n">
        <v>0</v>
      </c>
      <c r="Q15" t="n">
        <v>8</v>
      </c>
      <c r="R15" s="2" t="inlineStr">
        <is>
          <t>Garnlav
Orange taggsvamp
Svart taggsvamp
Ullticka
Plattlummer
Rostfläck
Vanlig rörsvepemossa
Vedticka</t>
        </is>
      </c>
      <c r="S15">
        <f>HYPERLINK("https://klasma.github.io/Logging_1863/artfynd/A 8503-2019 artfynd.xlsx", "A 8503-2019")</f>
        <v/>
      </c>
      <c r="T15">
        <f>HYPERLINK("https://klasma.github.io/Logging_1863/kartor/A 8503-2019 karta.png", "A 8503-2019")</f>
        <v/>
      </c>
      <c r="V15">
        <f>HYPERLINK("https://klasma.github.io/Logging_1863/klagomål/A 8503-2019 FSC-klagomål.docx", "A 8503-2019")</f>
        <v/>
      </c>
      <c r="W15">
        <f>HYPERLINK("https://klasma.github.io/Logging_1863/klagomålsmail/A 8503-2019 FSC-klagomål mail.docx", "A 8503-2019")</f>
        <v/>
      </c>
      <c r="X15">
        <f>HYPERLINK("https://klasma.github.io/Logging_1863/tillsyn/A 8503-2019 tillsynsbegäran.docx", "A 8503-2019")</f>
        <v/>
      </c>
      <c r="Y15">
        <f>HYPERLINK("https://klasma.github.io/Logging_1863/tillsynsmail/A 8503-2019 tillsynsbegäran mail.docx", "A 8503-2019")</f>
        <v/>
      </c>
    </row>
    <row r="16" ht="15" customHeight="1">
      <c r="A16" t="inlineStr">
        <is>
          <t>A 8507-2019</t>
        </is>
      </c>
      <c r="B16" s="1" t="n">
        <v>43502</v>
      </c>
      <c r="C16" s="1" t="n">
        <v>45222</v>
      </c>
      <c r="D16" t="inlineStr">
        <is>
          <t>ÖREBRO LÄN</t>
        </is>
      </c>
      <c r="E16" t="inlineStr">
        <is>
          <t>HÄLLEFORS</t>
        </is>
      </c>
      <c r="G16" t="n">
        <v>6.3</v>
      </c>
      <c r="H16" t="n">
        <v>2</v>
      </c>
      <c r="I16" t="n">
        <v>4</v>
      </c>
      <c r="J16" t="n">
        <v>3</v>
      </c>
      <c r="K16" t="n">
        <v>1</v>
      </c>
      <c r="L16" t="n">
        <v>0</v>
      </c>
      <c r="M16" t="n">
        <v>0</v>
      </c>
      <c r="N16" t="n">
        <v>0</v>
      </c>
      <c r="O16" t="n">
        <v>4</v>
      </c>
      <c r="P16" t="n">
        <v>1</v>
      </c>
      <c r="Q16" t="n">
        <v>8</v>
      </c>
      <c r="R16" s="2" t="inlineStr">
        <is>
          <t>Knärot
Garnlav
Ullticka
Vedtrappmossa
Bollvitmossa
Korallrot
Rödgul trumpetsvamp
Svavelriska</t>
        </is>
      </c>
      <c r="S16">
        <f>HYPERLINK("https://klasma.github.io/Logging_1863/artfynd/A 8507-2019 artfynd.xlsx", "A 8507-2019")</f>
        <v/>
      </c>
      <c r="T16">
        <f>HYPERLINK("https://klasma.github.io/Logging_1863/kartor/A 8507-2019 karta.png", "A 8507-2019")</f>
        <v/>
      </c>
      <c r="U16">
        <f>HYPERLINK("https://klasma.github.io/Logging_1863/knärot/A 8507-2019 karta knärot.png", "A 8507-2019")</f>
        <v/>
      </c>
      <c r="V16">
        <f>HYPERLINK("https://klasma.github.io/Logging_1863/klagomål/A 8507-2019 FSC-klagomål.docx", "A 8507-2019")</f>
        <v/>
      </c>
      <c r="W16">
        <f>HYPERLINK("https://klasma.github.io/Logging_1863/klagomålsmail/A 8507-2019 FSC-klagomål mail.docx", "A 8507-2019")</f>
        <v/>
      </c>
      <c r="X16">
        <f>HYPERLINK("https://klasma.github.io/Logging_1863/tillsyn/A 8507-2019 tillsynsbegäran.docx", "A 8507-2019")</f>
        <v/>
      </c>
      <c r="Y16">
        <f>HYPERLINK("https://klasma.github.io/Logging_1863/tillsynsmail/A 8507-2019 tillsynsbegäran mail.docx", "A 8507-2019")</f>
        <v/>
      </c>
    </row>
    <row r="17" ht="15" customHeight="1">
      <c r="A17" t="inlineStr">
        <is>
          <t>A 40725-2019</t>
        </is>
      </c>
      <c r="B17" s="1" t="n">
        <v>43691</v>
      </c>
      <c r="C17" s="1" t="n">
        <v>45222</v>
      </c>
      <c r="D17" t="inlineStr">
        <is>
          <t>ÖREBRO LÄN</t>
        </is>
      </c>
      <c r="E17" t="inlineStr">
        <is>
          <t>ÖREBRO</t>
        </is>
      </c>
      <c r="F17" t="inlineStr">
        <is>
          <t>Kommuner</t>
        </is>
      </c>
      <c r="G17" t="n">
        <v>19.2</v>
      </c>
      <c r="H17" t="n">
        <v>3</v>
      </c>
      <c r="I17" t="n">
        <v>1</v>
      </c>
      <c r="J17" t="n">
        <v>5</v>
      </c>
      <c r="K17" t="n">
        <v>2</v>
      </c>
      <c r="L17" t="n">
        <v>0</v>
      </c>
      <c r="M17" t="n">
        <v>0</v>
      </c>
      <c r="N17" t="n">
        <v>0</v>
      </c>
      <c r="O17" t="n">
        <v>7</v>
      </c>
      <c r="P17" t="n">
        <v>2</v>
      </c>
      <c r="Q17" t="n">
        <v>8</v>
      </c>
      <c r="R17" s="2" t="inlineStr">
        <is>
          <t>Knärot
Rynkskinn
Leptoporus erubescens
Lunglav
Spillkråka
Tallticka
Ullticka
Grön sköldmossa</t>
        </is>
      </c>
      <c r="S17">
        <f>HYPERLINK("https://klasma.github.io/Logging_1880/artfynd/A 40725-2019 artfynd.xlsx", "A 40725-2019")</f>
        <v/>
      </c>
      <c r="T17">
        <f>HYPERLINK("https://klasma.github.io/Logging_1880/kartor/A 40725-2019 karta.png", "A 40725-2019")</f>
        <v/>
      </c>
      <c r="U17">
        <f>HYPERLINK("https://klasma.github.io/Logging_1880/knärot/A 40725-2019 karta knärot.png", "A 40725-2019")</f>
        <v/>
      </c>
      <c r="V17">
        <f>HYPERLINK("https://klasma.github.io/Logging_1880/klagomål/A 40725-2019 FSC-klagomål.docx", "A 40725-2019")</f>
        <v/>
      </c>
      <c r="W17">
        <f>HYPERLINK("https://klasma.github.io/Logging_1880/klagomålsmail/A 40725-2019 FSC-klagomål mail.docx", "A 40725-2019")</f>
        <v/>
      </c>
      <c r="X17">
        <f>HYPERLINK("https://klasma.github.io/Logging_1880/tillsyn/A 40725-2019 tillsynsbegäran.docx", "A 40725-2019")</f>
        <v/>
      </c>
      <c r="Y17">
        <f>HYPERLINK("https://klasma.github.io/Logging_1880/tillsynsmail/A 40725-2019 tillsynsbegäran mail.docx", "A 40725-2019")</f>
        <v/>
      </c>
    </row>
    <row r="18" ht="15" customHeight="1">
      <c r="A18" t="inlineStr">
        <is>
          <t>A 50292-2021</t>
        </is>
      </c>
      <c r="B18" s="1" t="n">
        <v>44459</v>
      </c>
      <c r="C18" s="1" t="n">
        <v>45222</v>
      </c>
      <c r="D18" t="inlineStr">
        <is>
          <t>ÖREBRO LÄN</t>
        </is>
      </c>
      <c r="E18" t="inlineStr">
        <is>
          <t>LEKEBERG</t>
        </is>
      </c>
      <c r="G18" t="n">
        <v>6.3</v>
      </c>
      <c r="H18" t="n">
        <v>4</v>
      </c>
      <c r="I18" t="n">
        <v>4</v>
      </c>
      <c r="J18" t="n">
        <v>2</v>
      </c>
      <c r="K18" t="n">
        <v>2</v>
      </c>
      <c r="L18" t="n">
        <v>0</v>
      </c>
      <c r="M18" t="n">
        <v>0</v>
      </c>
      <c r="N18" t="n">
        <v>0</v>
      </c>
      <c r="O18" t="n">
        <v>4</v>
      </c>
      <c r="P18" t="n">
        <v>2</v>
      </c>
      <c r="Q18" t="n">
        <v>8</v>
      </c>
      <c r="R18" s="2" t="inlineStr">
        <is>
          <t>Knärot
Rödstrupig piplärka
Spillkråka
Talltita
Grönpyrola
Stubbspretmossa
Västlig hakmossa
Zontaggsvamp</t>
        </is>
      </c>
      <c r="S18">
        <f>HYPERLINK("https://klasma.github.io/Logging_1814/artfynd/A 50292-2021 artfynd.xlsx", "A 50292-2021")</f>
        <v/>
      </c>
      <c r="T18">
        <f>HYPERLINK("https://klasma.github.io/Logging_1814/kartor/A 50292-2021 karta.png", "A 50292-2021")</f>
        <v/>
      </c>
      <c r="U18">
        <f>HYPERLINK("https://klasma.github.io/Logging_1814/knärot/A 50292-2021 karta knärot.png", "A 50292-2021")</f>
        <v/>
      </c>
      <c r="V18">
        <f>HYPERLINK("https://klasma.github.io/Logging_1814/klagomål/A 50292-2021 FSC-klagomål.docx", "A 50292-2021")</f>
        <v/>
      </c>
      <c r="W18">
        <f>HYPERLINK("https://klasma.github.io/Logging_1814/klagomålsmail/A 50292-2021 FSC-klagomål mail.docx", "A 50292-2021")</f>
        <v/>
      </c>
      <c r="X18">
        <f>HYPERLINK("https://klasma.github.io/Logging_1814/tillsyn/A 50292-2021 tillsynsbegäran.docx", "A 50292-2021")</f>
        <v/>
      </c>
      <c r="Y18">
        <f>HYPERLINK("https://klasma.github.io/Logging_1814/tillsynsmail/A 50292-2021 tillsynsbegäran mail.docx", "A 50292-2021")</f>
        <v/>
      </c>
    </row>
    <row r="19" ht="15" customHeight="1">
      <c r="A19" t="inlineStr">
        <is>
          <t>A 15438-2019</t>
        </is>
      </c>
      <c r="B19" s="1" t="n">
        <v>43539</v>
      </c>
      <c r="C19" s="1" t="n">
        <v>45222</v>
      </c>
      <c r="D19" t="inlineStr">
        <is>
          <t>ÖREBRO LÄN</t>
        </is>
      </c>
      <c r="E19" t="inlineStr">
        <is>
          <t>ÖREBRO</t>
        </is>
      </c>
      <c r="F19" t="inlineStr">
        <is>
          <t>Kommuner</t>
        </is>
      </c>
      <c r="G19" t="n">
        <v>2.4</v>
      </c>
      <c r="H19" t="n">
        <v>0</v>
      </c>
      <c r="I19" t="n">
        <v>5</v>
      </c>
      <c r="J19" t="n">
        <v>1</v>
      </c>
      <c r="K19" t="n">
        <v>1</v>
      </c>
      <c r="L19" t="n">
        <v>0</v>
      </c>
      <c r="M19" t="n">
        <v>0</v>
      </c>
      <c r="N19" t="n">
        <v>0</v>
      </c>
      <c r="O19" t="n">
        <v>2</v>
      </c>
      <c r="P19" t="n">
        <v>1</v>
      </c>
      <c r="Q19" t="n">
        <v>7</v>
      </c>
      <c r="R19" s="2" t="inlineStr">
        <is>
          <t>Läderdoftande fingersvamp
Ullticka
Fjällig taggsvamp s.str.
Rävticka
Strimspindling
Stubbspretmossa
Svavelriska</t>
        </is>
      </c>
      <c r="S19">
        <f>HYPERLINK("https://klasma.github.io/Logging_1880/artfynd/A 15438-2019 artfynd.xlsx", "A 15438-2019")</f>
        <v/>
      </c>
      <c r="T19">
        <f>HYPERLINK("https://klasma.github.io/Logging_1880/kartor/A 15438-2019 karta.png", "A 15438-2019")</f>
        <v/>
      </c>
      <c r="V19">
        <f>HYPERLINK("https://klasma.github.io/Logging_1880/klagomål/A 15438-2019 FSC-klagomål.docx", "A 15438-2019")</f>
        <v/>
      </c>
      <c r="W19">
        <f>HYPERLINK("https://klasma.github.io/Logging_1880/klagomålsmail/A 15438-2019 FSC-klagomål mail.docx", "A 15438-2019")</f>
        <v/>
      </c>
      <c r="X19">
        <f>HYPERLINK("https://klasma.github.io/Logging_1880/tillsyn/A 15438-2019 tillsynsbegäran.docx", "A 15438-2019")</f>
        <v/>
      </c>
      <c r="Y19">
        <f>HYPERLINK("https://klasma.github.io/Logging_1880/tillsynsmail/A 15438-2019 tillsynsbegäran mail.docx", "A 15438-2019")</f>
        <v/>
      </c>
    </row>
    <row r="20" ht="15" customHeight="1">
      <c r="A20" t="inlineStr">
        <is>
          <t>A 46891-2019</t>
        </is>
      </c>
      <c r="B20" s="1" t="n">
        <v>43719</v>
      </c>
      <c r="C20" s="1" t="n">
        <v>45222</v>
      </c>
      <c r="D20" t="inlineStr">
        <is>
          <t>ÖREBRO LÄN</t>
        </is>
      </c>
      <c r="E20" t="inlineStr">
        <is>
          <t>ÖREBRO</t>
        </is>
      </c>
      <c r="F20" t="inlineStr">
        <is>
          <t>Kommuner</t>
        </is>
      </c>
      <c r="G20" t="n">
        <v>5.7</v>
      </c>
      <c r="H20" t="n">
        <v>0</v>
      </c>
      <c r="I20" t="n">
        <v>2</v>
      </c>
      <c r="J20" t="n">
        <v>4</v>
      </c>
      <c r="K20" t="n">
        <v>1</v>
      </c>
      <c r="L20" t="n">
        <v>0</v>
      </c>
      <c r="M20" t="n">
        <v>0</v>
      </c>
      <c r="N20" t="n">
        <v>0</v>
      </c>
      <c r="O20" t="n">
        <v>5</v>
      </c>
      <c r="P20" t="n">
        <v>1</v>
      </c>
      <c r="Q20" t="n">
        <v>7</v>
      </c>
      <c r="R20" s="2" t="inlineStr">
        <is>
          <t>Rynkskinn
Kådvaxskinn
Scharlakansvaxskivling
Tallticka
Ullticka
Blomkålssvamp
Toppvaxskivling</t>
        </is>
      </c>
      <c r="S20">
        <f>HYPERLINK("https://klasma.github.io/Logging_1880/artfynd/A 46891-2019 artfynd.xlsx", "A 46891-2019")</f>
        <v/>
      </c>
      <c r="T20">
        <f>HYPERLINK("https://klasma.github.io/Logging_1880/kartor/A 46891-2019 karta.png", "A 46891-2019")</f>
        <v/>
      </c>
      <c r="V20">
        <f>HYPERLINK("https://klasma.github.io/Logging_1880/klagomål/A 46891-2019 FSC-klagomål.docx", "A 46891-2019")</f>
        <v/>
      </c>
      <c r="W20">
        <f>HYPERLINK("https://klasma.github.io/Logging_1880/klagomålsmail/A 46891-2019 FSC-klagomål mail.docx", "A 46891-2019")</f>
        <v/>
      </c>
      <c r="X20">
        <f>HYPERLINK("https://klasma.github.io/Logging_1880/tillsyn/A 46891-2019 tillsynsbegäran.docx", "A 46891-2019")</f>
        <v/>
      </c>
      <c r="Y20">
        <f>HYPERLINK("https://klasma.github.io/Logging_1880/tillsynsmail/A 46891-2019 tillsynsbegäran mail.docx", "A 46891-2019")</f>
        <v/>
      </c>
    </row>
    <row r="21" ht="15" customHeight="1">
      <c r="A21" t="inlineStr">
        <is>
          <t>A 26878-2020</t>
        </is>
      </c>
      <c r="B21" s="1" t="n">
        <v>43987</v>
      </c>
      <c r="C21" s="1" t="n">
        <v>45222</v>
      </c>
      <c r="D21" t="inlineStr">
        <is>
          <t>ÖREBRO LÄN</t>
        </is>
      </c>
      <c r="E21" t="inlineStr">
        <is>
          <t>LEKEBERG</t>
        </is>
      </c>
      <c r="G21" t="n">
        <v>7.3</v>
      </c>
      <c r="H21" t="n">
        <v>1</v>
      </c>
      <c r="I21" t="n">
        <v>3</v>
      </c>
      <c r="J21" t="n">
        <v>2</v>
      </c>
      <c r="K21" t="n">
        <v>1</v>
      </c>
      <c r="L21" t="n">
        <v>0</v>
      </c>
      <c r="M21" t="n">
        <v>0</v>
      </c>
      <c r="N21" t="n">
        <v>0</v>
      </c>
      <c r="O21" t="n">
        <v>4</v>
      </c>
      <c r="P21" t="n">
        <v>1</v>
      </c>
      <c r="Q21" t="n">
        <v>7</v>
      </c>
      <c r="R21" s="2" t="inlineStr">
        <is>
          <t>Gräddporing
Spillkråka
Ullticka
Sprödporing
Dropptaggsvamp
Vedticka
Vågbandad barkbock</t>
        </is>
      </c>
      <c r="S21">
        <f>HYPERLINK("https://klasma.github.io/Logging_1814/artfynd/A 26878-2020 artfynd.xlsx", "A 26878-2020")</f>
        <v/>
      </c>
      <c r="T21">
        <f>HYPERLINK("https://klasma.github.io/Logging_1814/kartor/A 26878-2020 karta.png", "A 26878-2020")</f>
        <v/>
      </c>
      <c r="V21">
        <f>HYPERLINK("https://klasma.github.io/Logging_1814/klagomål/A 26878-2020 FSC-klagomål.docx", "A 26878-2020")</f>
        <v/>
      </c>
      <c r="W21">
        <f>HYPERLINK("https://klasma.github.io/Logging_1814/klagomålsmail/A 26878-2020 FSC-klagomål mail.docx", "A 26878-2020")</f>
        <v/>
      </c>
      <c r="X21">
        <f>HYPERLINK("https://klasma.github.io/Logging_1814/tillsyn/A 26878-2020 tillsynsbegäran.docx", "A 26878-2020")</f>
        <v/>
      </c>
      <c r="Y21">
        <f>HYPERLINK("https://klasma.github.io/Logging_1814/tillsynsmail/A 26878-2020 tillsynsbegäran mail.docx", "A 26878-2020")</f>
        <v/>
      </c>
    </row>
    <row r="22" ht="15" customHeight="1">
      <c r="A22" t="inlineStr">
        <is>
          <t>A 24762-2021</t>
        </is>
      </c>
      <c r="B22" s="1" t="n">
        <v>44340</v>
      </c>
      <c r="C22" s="1" t="n">
        <v>45222</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45222</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45222</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45222</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45222</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45222</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45222</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45222</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45222</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45222</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45222</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45222</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45222</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45222</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45222</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45222</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45222</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45222</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45222</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45222</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45222</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45222</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45222</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45222</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45222</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45222</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45222</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45222</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45222</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45222</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45222</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45222</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45222</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45222</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45222</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45222</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45222</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42807-2022</t>
        </is>
      </c>
      <c r="B59" s="1" t="n">
        <v>44832</v>
      </c>
      <c r="C59" s="1" t="n">
        <v>45222</v>
      </c>
      <c r="D59" t="inlineStr">
        <is>
          <t>ÖREBRO LÄN</t>
        </is>
      </c>
      <c r="E59" t="inlineStr">
        <is>
          <t>NORA</t>
        </is>
      </c>
      <c r="G59" t="n">
        <v>14.7</v>
      </c>
      <c r="H59" t="n">
        <v>2</v>
      </c>
      <c r="I59" t="n">
        <v>1</v>
      </c>
      <c r="J59" t="n">
        <v>1</v>
      </c>
      <c r="K59" t="n">
        <v>1</v>
      </c>
      <c r="L59" t="n">
        <v>0</v>
      </c>
      <c r="M59" t="n">
        <v>0</v>
      </c>
      <c r="N59" t="n">
        <v>0</v>
      </c>
      <c r="O59" t="n">
        <v>2</v>
      </c>
      <c r="P59" t="n">
        <v>1</v>
      </c>
      <c r="Q59" t="n">
        <v>4</v>
      </c>
      <c r="R59" s="2" t="inlineStr">
        <is>
          <t>Knärot
Ullticka
Bårdlav
Lopplummer</t>
        </is>
      </c>
      <c r="S59">
        <f>HYPERLINK("https://klasma.github.io/Logging_1884/artfynd/A 42807-2022 artfynd.xlsx", "A 42807-2022")</f>
        <v/>
      </c>
      <c r="T59">
        <f>HYPERLINK("https://klasma.github.io/Logging_1884/kartor/A 42807-2022 karta.png", "A 42807-2022")</f>
        <v/>
      </c>
      <c r="U59">
        <f>HYPERLINK("https://klasma.github.io/Logging_1884/knärot/A 42807-2022 karta knärot.png", "A 42807-2022")</f>
        <v/>
      </c>
      <c r="V59">
        <f>HYPERLINK("https://klasma.github.io/Logging_1884/klagomål/A 42807-2022 FSC-klagomål.docx", "A 42807-2022")</f>
        <v/>
      </c>
      <c r="W59">
        <f>HYPERLINK("https://klasma.github.io/Logging_1884/klagomålsmail/A 42807-2022 FSC-klagomål mail.docx", "A 42807-2022")</f>
        <v/>
      </c>
      <c r="X59">
        <f>HYPERLINK("https://klasma.github.io/Logging_1884/tillsyn/A 42807-2022 tillsynsbegäran.docx", "A 42807-2022")</f>
        <v/>
      </c>
      <c r="Y59">
        <f>HYPERLINK("https://klasma.github.io/Logging_1884/tillsynsmail/A 42807-2022 tillsynsbegäran mail.docx", "A 42807-2022")</f>
        <v/>
      </c>
    </row>
    <row r="60" ht="15" customHeight="1">
      <c r="A60" t="inlineStr">
        <is>
          <t>A 48875-2022</t>
        </is>
      </c>
      <c r="B60" s="1" t="n">
        <v>44859</v>
      </c>
      <c r="C60" s="1" t="n">
        <v>45222</v>
      </c>
      <c r="D60" t="inlineStr">
        <is>
          <t>ÖREBRO LÄN</t>
        </is>
      </c>
      <c r="E60" t="inlineStr">
        <is>
          <t>ASKERSUND</t>
        </is>
      </c>
      <c r="G60" t="n">
        <v>14.4</v>
      </c>
      <c r="H60" t="n">
        <v>1</v>
      </c>
      <c r="I60" t="n">
        <v>1</v>
      </c>
      <c r="J60" t="n">
        <v>1</v>
      </c>
      <c r="K60" t="n">
        <v>1</v>
      </c>
      <c r="L60" t="n">
        <v>0</v>
      </c>
      <c r="M60" t="n">
        <v>0</v>
      </c>
      <c r="N60" t="n">
        <v>0</v>
      </c>
      <c r="O60" t="n">
        <v>2</v>
      </c>
      <c r="P60" t="n">
        <v>1</v>
      </c>
      <c r="Q60" t="n">
        <v>4</v>
      </c>
      <c r="R60" s="2" t="inlineStr">
        <is>
          <t>Slåttergubbe
Svinrot
Svart trolldruva
Blåsippa</t>
        </is>
      </c>
      <c r="S60">
        <f>HYPERLINK("https://klasma.github.io/Logging_1882/artfynd/A 48875-2022 artfynd.xlsx", "A 48875-2022")</f>
        <v/>
      </c>
      <c r="T60">
        <f>HYPERLINK("https://klasma.github.io/Logging_1882/kartor/A 48875-2022 karta.png", "A 48875-2022")</f>
        <v/>
      </c>
      <c r="V60">
        <f>HYPERLINK("https://klasma.github.io/Logging_1882/klagomål/A 48875-2022 FSC-klagomål.docx", "A 48875-2022")</f>
        <v/>
      </c>
      <c r="W60">
        <f>HYPERLINK("https://klasma.github.io/Logging_1882/klagomålsmail/A 48875-2022 FSC-klagomål mail.docx", "A 48875-2022")</f>
        <v/>
      </c>
      <c r="X60">
        <f>HYPERLINK("https://klasma.github.io/Logging_1882/tillsyn/A 48875-2022 tillsynsbegäran.docx", "A 48875-2022")</f>
        <v/>
      </c>
      <c r="Y60">
        <f>HYPERLINK("https://klasma.github.io/Logging_1882/tillsynsmail/A 48875-2022 tillsynsbegäran mail.docx", "A 48875-2022")</f>
        <v/>
      </c>
    </row>
    <row r="61" ht="15" customHeight="1">
      <c r="A61" t="inlineStr">
        <is>
          <t>A 19071-2023</t>
        </is>
      </c>
      <c r="B61" s="1" t="n">
        <v>45048</v>
      </c>
      <c r="C61" s="1" t="n">
        <v>45222</v>
      </c>
      <c r="D61" t="inlineStr">
        <is>
          <t>ÖREBRO LÄN</t>
        </is>
      </c>
      <c r="E61" t="inlineStr">
        <is>
          <t>NORA</t>
        </is>
      </c>
      <c r="G61" t="n">
        <v>4.2</v>
      </c>
      <c r="H61" t="n">
        <v>0</v>
      </c>
      <c r="I61" t="n">
        <v>3</v>
      </c>
      <c r="J61" t="n">
        <v>0</v>
      </c>
      <c r="K61" t="n">
        <v>0</v>
      </c>
      <c r="L61" t="n">
        <v>1</v>
      </c>
      <c r="M61" t="n">
        <v>0</v>
      </c>
      <c r="N61" t="n">
        <v>0</v>
      </c>
      <c r="O61" t="n">
        <v>1</v>
      </c>
      <c r="P61" t="n">
        <v>1</v>
      </c>
      <c r="Q61" t="n">
        <v>4</v>
      </c>
      <c r="R61" s="2" t="inlineStr">
        <is>
          <t>Ask
Mörk husmossa
Svavelriska
Västlig hakmossa</t>
        </is>
      </c>
      <c r="S61">
        <f>HYPERLINK("https://klasma.github.io/Logging_1884/artfynd/A 19071-2023 artfynd.xlsx", "A 19071-2023")</f>
        <v/>
      </c>
      <c r="T61">
        <f>HYPERLINK("https://klasma.github.io/Logging_1884/kartor/A 19071-2023 karta.png", "A 19071-2023")</f>
        <v/>
      </c>
      <c r="V61">
        <f>HYPERLINK("https://klasma.github.io/Logging_1884/klagomål/A 19071-2023 FSC-klagomål.docx", "A 19071-2023")</f>
        <v/>
      </c>
      <c r="W61">
        <f>HYPERLINK("https://klasma.github.io/Logging_1884/klagomålsmail/A 19071-2023 FSC-klagomål mail.docx", "A 19071-2023")</f>
        <v/>
      </c>
      <c r="X61">
        <f>HYPERLINK("https://klasma.github.io/Logging_1884/tillsyn/A 19071-2023 tillsynsbegäran.docx", "A 19071-2023")</f>
        <v/>
      </c>
      <c r="Y61">
        <f>HYPERLINK("https://klasma.github.io/Logging_1884/tillsynsmail/A 19071-2023 tillsynsbegäran mail.docx", "A 19071-2023")</f>
        <v/>
      </c>
    </row>
    <row r="62" ht="15" customHeight="1">
      <c r="A62" t="inlineStr">
        <is>
          <t>A 22408-2023</t>
        </is>
      </c>
      <c r="B62" s="1" t="n">
        <v>45070</v>
      </c>
      <c r="C62" s="1" t="n">
        <v>45222</v>
      </c>
      <c r="D62" t="inlineStr">
        <is>
          <t>ÖREBRO LÄN</t>
        </is>
      </c>
      <c r="E62" t="inlineStr">
        <is>
          <t>NORA</t>
        </is>
      </c>
      <c r="G62" t="n">
        <v>1.2</v>
      </c>
      <c r="H62" t="n">
        <v>0</v>
      </c>
      <c r="I62" t="n">
        <v>2</v>
      </c>
      <c r="J62" t="n">
        <v>2</v>
      </c>
      <c r="K62" t="n">
        <v>0</v>
      </c>
      <c r="L62" t="n">
        <v>0</v>
      </c>
      <c r="M62" t="n">
        <v>0</v>
      </c>
      <c r="N62" t="n">
        <v>0</v>
      </c>
      <c r="O62" t="n">
        <v>2</v>
      </c>
      <c r="P62" t="n">
        <v>0</v>
      </c>
      <c r="Q62" t="n">
        <v>4</v>
      </c>
      <c r="R62" s="2" t="inlineStr">
        <is>
          <t>Dofttaggsvamp
Gul taggsvamp
Fjällig taggsvamp s.str.
Tibast</t>
        </is>
      </c>
      <c r="S62">
        <f>HYPERLINK("https://klasma.github.io/Logging_1884/artfynd/A 22408-2023 artfynd.xlsx", "A 22408-2023")</f>
        <v/>
      </c>
      <c r="T62">
        <f>HYPERLINK("https://klasma.github.io/Logging_1884/kartor/A 22408-2023 karta.png", "A 22408-2023")</f>
        <v/>
      </c>
      <c r="V62">
        <f>HYPERLINK("https://klasma.github.io/Logging_1884/klagomål/A 22408-2023 FSC-klagomål.docx", "A 22408-2023")</f>
        <v/>
      </c>
      <c r="W62">
        <f>HYPERLINK("https://klasma.github.io/Logging_1884/klagomålsmail/A 22408-2023 FSC-klagomål mail.docx", "A 22408-2023")</f>
        <v/>
      </c>
      <c r="X62">
        <f>HYPERLINK("https://klasma.github.io/Logging_1884/tillsyn/A 22408-2023 tillsynsbegäran.docx", "A 22408-2023")</f>
        <v/>
      </c>
      <c r="Y62">
        <f>HYPERLINK("https://klasma.github.io/Logging_1884/tillsynsmail/A 22408-2023 tillsynsbegäran mail.docx", "A 22408-2023")</f>
        <v/>
      </c>
    </row>
    <row r="63" ht="15" customHeight="1">
      <c r="A63" t="inlineStr">
        <is>
          <t>A 68232-2018</t>
        </is>
      </c>
      <c r="B63" s="1" t="n">
        <v>43441</v>
      </c>
      <c r="C63" s="1" t="n">
        <v>45222</v>
      </c>
      <c r="D63" t="inlineStr">
        <is>
          <t>ÖREBRO LÄN</t>
        </is>
      </c>
      <c r="E63" t="inlineStr">
        <is>
          <t>LEKEBERG</t>
        </is>
      </c>
      <c r="F63" t="inlineStr">
        <is>
          <t>Allmännings- och besparingsskogar</t>
        </is>
      </c>
      <c r="G63" t="n">
        <v>36.8</v>
      </c>
      <c r="H63" t="n">
        <v>3</v>
      </c>
      <c r="I63" t="n">
        <v>0</v>
      </c>
      <c r="J63" t="n">
        <v>0</v>
      </c>
      <c r="K63" t="n">
        <v>0</v>
      </c>
      <c r="L63" t="n">
        <v>0</v>
      </c>
      <c r="M63" t="n">
        <v>0</v>
      </c>
      <c r="N63" t="n">
        <v>0</v>
      </c>
      <c r="O63" t="n">
        <v>0</v>
      </c>
      <c r="P63" t="n">
        <v>0</v>
      </c>
      <c r="Q63" t="n">
        <v>3</v>
      </c>
      <c r="R63" s="2" t="inlineStr">
        <is>
          <t>Fläcknycklar
Mattlummer
Revlummer</t>
        </is>
      </c>
      <c r="S63">
        <f>HYPERLINK("https://klasma.github.io/Logging_1814/artfynd/A 68232-2018 artfynd.xlsx", "A 68232-2018")</f>
        <v/>
      </c>
      <c r="T63">
        <f>HYPERLINK("https://klasma.github.io/Logging_1814/kartor/A 68232-2018 karta.png", "A 68232-2018")</f>
        <v/>
      </c>
      <c r="V63">
        <f>HYPERLINK("https://klasma.github.io/Logging_1814/klagomål/A 68232-2018 FSC-klagomål.docx", "A 68232-2018")</f>
        <v/>
      </c>
      <c r="W63">
        <f>HYPERLINK("https://klasma.github.io/Logging_1814/klagomålsmail/A 68232-2018 FSC-klagomål mail.docx", "A 68232-2018")</f>
        <v/>
      </c>
      <c r="X63">
        <f>HYPERLINK("https://klasma.github.io/Logging_1814/tillsyn/A 68232-2018 tillsynsbegäran.docx", "A 68232-2018")</f>
        <v/>
      </c>
      <c r="Y63">
        <f>HYPERLINK("https://klasma.github.io/Logging_1814/tillsynsmail/A 68232-2018 tillsynsbegäran mail.docx", "A 68232-2018")</f>
        <v/>
      </c>
    </row>
    <row r="64" ht="15" customHeight="1">
      <c r="A64" t="inlineStr">
        <is>
          <t>A 35545-2019</t>
        </is>
      </c>
      <c r="B64" s="1" t="n">
        <v>43654</v>
      </c>
      <c r="C64" s="1" t="n">
        <v>45222</v>
      </c>
      <c r="D64" t="inlineStr">
        <is>
          <t>ÖREBRO LÄN</t>
        </is>
      </c>
      <c r="E64" t="inlineStr">
        <is>
          <t>ÖREBRO</t>
        </is>
      </c>
      <c r="F64" t="inlineStr">
        <is>
          <t>Kommuner</t>
        </is>
      </c>
      <c r="G64" t="n">
        <v>2.7</v>
      </c>
      <c r="H64" t="n">
        <v>1</v>
      </c>
      <c r="I64" t="n">
        <v>1</v>
      </c>
      <c r="J64" t="n">
        <v>2</v>
      </c>
      <c r="K64" t="n">
        <v>0</v>
      </c>
      <c r="L64" t="n">
        <v>0</v>
      </c>
      <c r="M64" t="n">
        <v>0</v>
      </c>
      <c r="N64" t="n">
        <v>0</v>
      </c>
      <c r="O64" t="n">
        <v>2</v>
      </c>
      <c r="P64" t="n">
        <v>0</v>
      </c>
      <c r="Q64" t="n">
        <v>3</v>
      </c>
      <c r="R64" s="2" t="inlineStr">
        <is>
          <t>Spillkråka
Tallticka
Gullgröppa</t>
        </is>
      </c>
      <c r="S64">
        <f>HYPERLINK("https://klasma.github.io/Logging_1880/artfynd/A 35545-2019 artfynd.xlsx", "A 35545-2019")</f>
        <v/>
      </c>
      <c r="T64">
        <f>HYPERLINK("https://klasma.github.io/Logging_1880/kartor/A 35545-2019 karta.png", "A 35545-2019")</f>
        <v/>
      </c>
      <c r="V64">
        <f>HYPERLINK("https://klasma.github.io/Logging_1880/klagomål/A 35545-2019 FSC-klagomål.docx", "A 35545-2019")</f>
        <v/>
      </c>
      <c r="W64">
        <f>HYPERLINK("https://klasma.github.io/Logging_1880/klagomålsmail/A 35545-2019 FSC-klagomål mail.docx", "A 35545-2019")</f>
        <v/>
      </c>
      <c r="X64">
        <f>HYPERLINK("https://klasma.github.io/Logging_1880/tillsyn/A 35545-2019 tillsynsbegäran.docx", "A 35545-2019")</f>
        <v/>
      </c>
      <c r="Y64">
        <f>HYPERLINK("https://klasma.github.io/Logging_1880/tillsynsmail/A 35545-2019 tillsynsbegäran mail.docx", "A 35545-2019")</f>
        <v/>
      </c>
    </row>
    <row r="65" ht="15" customHeight="1">
      <c r="A65" t="inlineStr">
        <is>
          <t>A 38627-2019</t>
        </is>
      </c>
      <c r="B65" s="1" t="n">
        <v>43686</v>
      </c>
      <c r="C65" s="1" t="n">
        <v>45222</v>
      </c>
      <c r="D65" t="inlineStr">
        <is>
          <t>ÖREBRO LÄN</t>
        </is>
      </c>
      <c r="E65" t="inlineStr">
        <is>
          <t>LJUSNARSBERG</t>
        </is>
      </c>
      <c r="G65" t="n">
        <v>3.5</v>
      </c>
      <c r="H65" t="n">
        <v>0</v>
      </c>
      <c r="I65" t="n">
        <v>3</v>
      </c>
      <c r="J65" t="n">
        <v>0</v>
      </c>
      <c r="K65" t="n">
        <v>0</v>
      </c>
      <c r="L65" t="n">
        <v>0</v>
      </c>
      <c r="M65" t="n">
        <v>0</v>
      </c>
      <c r="N65" t="n">
        <v>0</v>
      </c>
      <c r="O65" t="n">
        <v>0</v>
      </c>
      <c r="P65" t="n">
        <v>0</v>
      </c>
      <c r="Q65" t="n">
        <v>3</v>
      </c>
      <c r="R65" s="2" t="inlineStr">
        <is>
          <t>Bronshjon
Svavelriska
Thomsons trägnagare</t>
        </is>
      </c>
      <c r="S65">
        <f>HYPERLINK("https://klasma.github.io/Logging_1864/artfynd/A 38627-2019 artfynd.xlsx", "A 38627-2019")</f>
        <v/>
      </c>
      <c r="T65">
        <f>HYPERLINK("https://klasma.github.io/Logging_1864/kartor/A 38627-2019 karta.png", "A 38627-2019")</f>
        <v/>
      </c>
      <c r="V65">
        <f>HYPERLINK("https://klasma.github.io/Logging_1864/klagomål/A 38627-2019 FSC-klagomål.docx", "A 38627-2019")</f>
        <v/>
      </c>
      <c r="W65">
        <f>HYPERLINK("https://klasma.github.io/Logging_1864/klagomålsmail/A 38627-2019 FSC-klagomål mail.docx", "A 38627-2019")</f>
        <v/>
      </c>
      <c r="X65">
        <f>HYPERLINK("https://klasma.github.io/Logging_1864/tillsyn/A 38627-2019 tillsynsbegäran.docx", "A 38627-2019")</f>
        <v/>
      </c>
      <c r="Y65">
        <f>HYPERLINK("https://klasma.github.io/Logging_1864/tillsynsmail/A 38627-2019 tillsynsbegäran mail.docx", "A 38627-2019")</f>
        <v/>
      </c>
    </row>
    <row r="66" ht="15" customHeight="1">
      <c r="A66" t="inlineStr">
        <is>
          <t>A 40942-2019</t>
        </is>
      </c>
      <c r="B66" s="1" t="n">
        <v>43697</v>
      </c>
      <c r="C66" s="1" t="n">
        <v>45222</v>
      </c>
      <c r="D66" t="inlineStr">
        <is>
          <t>ÖREBRO LÄN</t>
        </is>
      </c>
      <c r="E66" t="inlineStr">
        <is>
          <t>ASKERSUND</t>
        </is>
      </c>
      <c r="G66" t="n">
        <v>3.2</v>
      </c>
      <c r="H66" t="n">
        <v>1</v>
      </c>
      <c r="I66" t="n">
        <v>0</v>
      </c>
      <c r="J66" t="n">
        <v>2</v>
      </c>
      <c r="K66" t="n">
        <v>0</v>
      </c>
      <c r="L66" t="n">
        <v>0</v>
      </c>
      <c r="M66" t="n">
        <v>0</v>
      </c>
      <c r="N66" t="n">
        <v>0</v>
      </c>
      <c r="O66" t="n">
        <v>2</v>
      </c>
      <c r="P66" t="n">
        <v>0</v>
      </c>
      <c r="Q66" t="n">
        <v>3</v>
      </c>
      <c r="R66" s="2" t="inlineStr">
        <is>
          <t>Sommarfibbla
Svinrot
Gullviva</t>
        </is>
      </c>
      <c r="S66">
        <f>HYPERLINK("https://klasma.github.io/Logging_1882/artfynd/A 40942-2019 artfynd.xlsx", "A 40942-2019")</f>
        <v/>
      </c>
      <c r="T66">
        <f>HYPERLINK("https://klasma.github.io/Logging_1882/kartor/A 40942-2019 karta.png", "A 40942-2019")</f>
        <v/>
      </c>
      <c r="V66">
        <f>HYPERLINK("https://klasma.github.io/Logging_1882/klagomål/A 40942-2019 FSC-klagomål.docx", "A 40942-2019")</f>
        <v/>
      </c>
      <c r="W66">
        <f>HYPERLINK("https://klasma.github.io/Logging_1882/klagomålsmail/A 40942-2019 FSC-klagomål mail.docx", "A 40942-2019")</f>
        <v/>
      </c>
      <c r="X66">
        <f>HYPERLINK("https://klasma.github.io/Logging_1882/tillsyn/A 40942-2019 tillsynsbegäran.docx", "A 40942-2019")</f>
        <v/>
      </c>
      <c r="Y66">
        <f>HYPERLINK("https://klasma.github.io/Logging_1882/tillsynsmail/A 40942-2019 tillsynsbegäran mail.docx", "A 40942-2019")</f>
        <v/>
      </c>
    </row>
    <row r="67" ht="15" customHeight="1">
      <c r="A67" t="inlineStr">
        <is>
          <t>A 41546-2019</t>
        </is>
      </c>
      <c r="B67" s="1" t="n">
        <v>43699</v>
      </c>
      <c r="C67" s="1" t="n">
        <v>45222</v>
      </c>
      <c r="D67" t="inlineStr">
        <is>
          <t>ÖREBRO LÄN</t>
        </is>
      </c>
      <c r="E67" t="inlineStr">
        <is>
          <t>HÄLLEFORS</t>
        </is>
      </c>
      <c r="F67" t="inlineStr">
        <is>
          <t>Sveaskog</t>
        </is>
      </c>
      <c r="G67" t="n">
        <v>6.1</v>
      </c>
      <c r="H67" t="n">
        <v>1</v>
      </c>
      <c r="I67" t="n">
        <v>1</v>
      </c>
      <c r="J67" t="n">
        <v>2</v>
      </c>
      <c r="K67" t="n">
        <v>0</v>
      </c>
      <c r="L67" t="n">
        <v>0</v>
      </c>
      <c r="M67" t="n">
        <v>0</v>
      </c>
      <c r="N67" t="n">
        <v>0</v>
      </c>
      <c r="O67" t="n">
        <v>2</v>
      </c>
      <c r="P67" t="n">
        <v>0</v>
      </c>
      <c r="Q67" t="n">
        <v>3</v>
      </c>
      <c r="R67" s="2" t="inlineStr">
        <is>
          <t>Motaggsvamp
Tretåig hackspett
Skuggblåslav</t>
        </is>
      </c>
      <c r="S67">
        <f>HYPERLINK("https://klasma.github.io/Logging_1863/artfynd/A 41546-2019 artfynd.xlsx", "A 41546-2019")</f>
        <v/>
      </c>
      <c r="T67">
        <f>HYPERLINK("https://klasma.github.io/Logging_1863/kartor/A 41546-2019 karta.png", "A 41546-2019")</f>
        <v/>
      </c>
      <c r="V67">
        <f>HYPERLINK("https://klasma.github.io/Logging_1863/klagomål/A 41546-2019 FSC-klagomål.docx", "A 41546-2019")</f>
        <v/>
      </c>
      <c r="W67">
        <f>HYPERLINK("https://klasma.github.io/Logging_1863/klagomålsmail/A 41546-2019 FSC-klagomål mail.docx", "A 41546-2019")</f>
        <v/>
      </c>
      <c r="X67">
        <f>HYPERLINK("https://klasma.github.io/Logging_1863/tillsyn/A 41546-2019 tillsynsbegäran.docx", "A 41546-2019")</f>
        <v/>
      </c>
      <c r="Y67">
        <f>HYPERLINK("https://klasma.github.io/Logging_1863/tillsynsmail/A 41546-2019 tillsynsbegäran mail.docx", "A 41546-2019")</f>
        <v/>
      </c>
    </row>
    <row r="68" ht="15" customHeight="1">
      <c r="A68" t="inlineStr">
        <is>
          <t>A 52328-2019</t>
        </is>
      </c>
      <c r="B68" s="1" t="n">
        <v>43745</v>
      </c>
      <c r="C68" s="1" t="n">
        <v>45222</v>
      </c>
      <c r="D68" t="inlineStr">
        <is>
          <t>ÖREBRO LÄN</t>
        </is>
      </c>
      <c r="E68" t="inlineStr">
        <is>
          <t>HÄLLEFORS</t>
        </is>
      </c>
      <c r="F68" t="inlineStr">
        <is>
          <t>Sveaskog</t>
        </is>
      </c>
      <c r="G68" t="n">
        <v>4.6</v>
      </c>
      <c r="H68" t="n">
        <v>0</v>
      </c>
      <c r="I68" t="n">
        <v>1</v>
      </c>
      <c r="J68" t="n">
        <v>2</v>
      </c>
      <c r="K68" t="n">
        <v>0</v>
      </c>
      <c r="L68" t="n">
        <v>0</v>
      </c>
      <c r="M68" t="n">
        <v>0</v>
      </c>
      <c r="N68" t="n">
        <v>0</v>
      </c>
      <c r="O68" t="n">
        <v>2</v>
      </c>
      <c r="P68" t="n">
        <v>0</v>
      </c>
      <c r="Q68" t="n">
        <v>3</v>
      </c>
      <c r="R68" s="2" t="inlineStr">
        <is>
          <t>Garnlav
Vedskivlav
Stor revmossa</t>
        </is>
      </c>
      <c r="S68">
        <f>HYPERLINK("https://klasma.github.io/Logging_1863/artfynd/A 52328-2019 artfynd.xlsx", "A 52328-2019")</f>
        <v/>
      </c>
      <c r="T68">
        <f>HYPERLINK("https://klasma.github.io/Logging_1863/kartor/A 52328-2019 karta.png", "A 52328-2019")</f>
        <v/>
      </c>
      <c r="V68">
        <f>HYPERLINK("https://klasma.github.io/Logging_1863/klagomål/A 52328-2019 FSC-klagomål.docx", "A 52328-2019")</f>
        <v/>
      </c>
      <c r="W68">
        <f>HYPERLINK("https://klasma.github.io/Logging_1863/klagomålsmail/A 52328-2019 FSC-klagomål mail.docx", "A 52328-2019")</f>
        <v/>
      </c>
      <c r="X68">
        <f>HYPERLINK("https://klasma.github.io/Logging_1863/tillsyn/A 52328-2019 tillsynsbegäran.docx", "A 52328-2019")</f>
        <v/>
      </c>
      <c r="Y68">
        <f>HYPERLINK("https://klasma.github.io/Logging_1863/tillsynsmail/A 52328-2019 tillsynsbegäran mail.docx", "A 52328-2019")</f>
        <v/>
      </c>
    </row>
    <row r="69" ht="15" customHeight="1">
      <c r="A69" t="inlineStr">
        <is>
          <t>A 19244-2020</t>
        </is>
      </c>
      <c r="B69" s="1" t="n">
        <v>43936</v>
      </c>
      <c r="C69" s="1" t="n">
        <v>45222</v>
      </c>
      <c r="D69" t="inlineStr">
        <is>
          <t>ÖREBRO LÄN</t>
        </is>
      </c>
      <c r="E69" t="inlineStr">
        <is>
          <t>ÖREBRO</t>
        </is>
      </c>
      <c r="F69" t="inlineStr">
        <is>
          <t>Kommuner</t>
        </is>
      </c>
      <c r="G69" t="n">
        <v>13.7</v>
      </c>
      <c r="H69" t="n">
        <v>0</v>
      </c>
      <c r="I69" t="n">
        <v>2</v>
      </c>
      <c r="J69" t="n">
        <v>1</v>
      </c>
      <c r="K69" t="n">
        <v>0</v>
      </c>
      <c r="L69" t="n">
        <v>0</v>
      </c>
      <c r="M69" t="n">
        <v>0</v>
      </c>
      <c r="N69" t="n">
        <v>0</v>
      </c>
      <c r="O69" t="n">
        <v>1</v>
      </c>
      <c r="P69" t="n">
        <v>0</v>
      </c>
      <c r="Q69" t="n">
        <v>3</v>
      </c>
      <c r="R69" s="2" t="inlineStr">
        <is>
          <t>Ullticka
Brandticka
Småskölding</t>
        </is>
      </c>
      <c r="S69">
        <f>HYPERLINK("https://klasma.github.io/Logging_1880/artfynd/A 19244-2020 artfynd.xlsx", "A 19244-2020")</f>
        <v/>
      </c>
      <c r="T69">
        <f>HYPERLINK("https://klasma.github.io/Logging_1880/kartor/A 19244-2020 karta.png", "A 19244-2020")</f>
        <v/>
      </c>
      <c r="V69">
        <f>HYPERLINK("https://klasma.github.io/Logging_1880/klagomål/A 19244-2020 FSC-klagomål.docx", "A 19244-2020")</f>
        <v/>
      </c>
      <c r="W69">
        <f>HYPERLINK("https://klasma.github.io/Logging_1880/klagomålsmail/A 19244-2020 FSC-klagomål mail.docx", "A 19244-2020")</f>
        <v/>
      </c>
      <c r="X69">
        <f>HYPERLINK("https://klasma.github.io/Logging_1880/tillsyn/A 19244-2020 tillsynsbegäran.docx", "A 19244-2020")</f>
        <v/>
      </c>
      <c r="Y69">
        <f>HYPERLINK("https://klasma.github.io/Logging_1880/tillsynsmail/A 19244-2020 tillsynsbegäran mail.docx", "A 19244-2020")</f>
        <v/>
      </c>
    </row>
    <row r="70" ht="15" customHeight="1">
      <c r="A70" t="inlineStr">
        <is>
          <t>A 41840-2020</t>
        </is>
      </c>
      <c r="B70" s="1" t="n">
        <v>44074</v>
      </c>
      <c r="C70" s="1" t="n">
        <v>45222</v>
      </c>
      <c r="D70" t="inlineStr">
        <is>
          <t>ÖREBRO LÄN</t>
        </is>
      </c>
      <c r="E70" t="inlineStr">
        <is>
          <t>ASKERSUND</t>
        </is>
      </c>
      <c r="G70" t="n">
        <v>4.9</v>
      </c>
      <c r="H70" t="n">
        <v>1</v>
      </c>
      <c r="I70" t="n">
        <v>2</v>
      </c>
      <c r="J70" t="n">
        <v>0</v>
      </c>
      <c r="K70" t="n">
        <v>0</v>
      </c>
      <c r="L70" t="n">
        <v>0</v>
      </c>
      <c r="M70" t="n">
        <v>0</v>
      </c>
      <c r="N70" t="n">
        <v>0</v>
      </c>
      <c r="O70" t="n">
        <v>0</v>
      </c>
      <c r="P70" t="n">
        <v>0</v>
      </c>
      <c r="Q70" t="n">
        <v>3</v>
      </c>
      <c r="R70" s="2" t="inlineStr">
        <is>
          <t>Thomsons trägnagare
Västlig hakmossa
Blåsippa</t>
        </is>
      </c>
      <c r="S70">
        <f>HYPERLINK("https://klasma.github.io/Logging_1882/artfynd/A 41840-2020 artfynd.xlsx", "A 41840-2020")</f>
        <v/>
      </c>
      <c r="T70">
        <f>HYPERLINK("https://klasma.github.io/Logging_1882/kartor/A 41840-2020 karta.png", "A 41840-2020")</f>
        <v/>
      </c>
      <c r="V70">
        <f>HYPERLINK("https://klasma.github.io/Logging_1882/klagomål/A 41840-2020 FSC-klagomål.docx", "A 41840-2020")</f>
        <v/>
      </c>
      <c r="W70">
        <f>HYPERLINK("https://klasma.github.io/Logging_1882/klagomålsmail/A 41840-2020 FSC-klagomål mail.docx", "A 41840-2020")</f>
        <v/>
      </c>
      <c r="X70">
        <f>HYPERLINK("https://klasma.github.io/Logging_1882/tillsyn/A 41840-2020 tillsynsbegäran.docx", "A 41840-2020")</f>
        <v/>
      </c>
      <c r="Y70">
        <f>HYPERLINK("https://klasma.github.io/Logging_1882/tillsynsmail/A 41840-2020 tillsynsbegäran mail.docx", "A 41840-2020")</f>
        <v/>
      </c>
    </row>
    <row r="71" ht="15" customHeight="1">
      <c r="A71" t="inlineStr">
        <is>
          <t>A 41839-2020</t>
        </is>
      </c>
      <c r="B71" s="1" t="n">
        <v>44074</v>
      </c>
      <c r="C71" s="1" t="n">
        <v>45222</v>
      </c>
      <c r="D71" t="inlineStr">
        <is>
          <t>ÖREBRO LÄN</t>
        </is>
      </c>
      <c r="E71" t="inlineStr">
        <is>
          <t>HÄLLEFORS</t>
        </is>
      </c>
      <c r="F71" t="inlineStr">
        <is>
          <t>Bergvik skog väst AB</t>
        </is>
      </c>
      <c r="G71" t="n">
        <v>0.9</v>
      </c>
      <c r="H71" t="n">
        <v>3</v>
      </c>
      <c r="I71" t="n">
        <v>1</v>
      </c>
      <c r="J71" t="n">
        <v>0</v>
      </c>
      <c r="K71" t="n">
        <v>0</v>
      </c>
      <c r="L71" t="n">
        <v>0</v>
      </c>
      <c r="M71" t="n">
        <v>0</v>
      </c>
      <c r="N71" t="n">
        <v>0</v>
      </c>
      <c r="O71" t="n">
        <v>0</v>
      </c>
      <c r="P71" t="n">
        <v>0</v>
      </c>
      <c r="Q71" t="n">
        <v>3</v>
      </c>
      <c r="R71" s="2" t="inlineStr">
        <is>
          <t>Tvåblad
Brudsporre
Nattviol</t>
        </is>
      </c>
      <c r="S71">
        <f>HYPERLINK("https://klasma.github.io/Logging_1863/artfynd/A 41839-2020 artfynd.xlsx", "A 41839-2020")</f>
        <v/>
      </c>
      <c r="T71">
        <f>HYPERLINK("https://klasma.github.io/Logging_1863/kartor/A 41839-2020 karta.png", "A 41839-2020")</f>
        <v/>
      </c>
      <c r="V71">
        <f>HYPERLINK("https://klasma.github.io/Logging_1863/klagomål/A 41839-2020 FSC-klagomål.docx", "A 41839-2020")</f>
        <v/>
      </c>
      <c r="W71">
        <f>HYPERLINK("https://klasma.github.io/Logging_1863/klagomålsmail/A 41839-2020 FSC-klagomål mail.docx", "A 41839-2020")</f>
        <v/>
      </c>
      <c r="X71">
        <f>HYPERLINK("https://klasma.github.io/Logging_1863/tillsyn/A 41839-2020 tillsynsbegäran.docx", "A 41839-2020")</f>
        <v/>
      </c>
      <c r="Y71">
        <f>HYPERLINK("https://klasma.github.io/Logging_1863/tillsynsmail/A 41839-2020 tillsynsbegäran mail.docx", "A 41839-2020")</f>
        <v/>
      </c>
    </row>
    <row r="72" ht="15" customHeight="1">
      <c r="A72" t="inlineStr">
        <is>
          <t>A 60537-2020</t>
        </is>
      </c>
      <c r="B72" s="1" t="n">
        <v>44153</v>
      </c>
      <c r="C72" s="1" t="n">
        <v>45222</v>
      </c>
      <c r="D72" t="inlineStr">
        <is>
          <t>ÖREBRO LÄN</t>
        </is>
      </c>
      <c r="E72" t="inlineStr">
        <is>
          <t>ASKERSUND</t>
        </is>
      </c>
      <c r="G72" t="n">
        <v>8.699999999999999</v>
      </c>
      <c r="H72" t="n">
        <v>2</v>
      </c>
      <c r="I72" t="n">
        <v>0</v>
      </c>
      <c r="J72" t="n">
        <v>3</v>
      </c>
      <c r="K72" t="n">
        <v>0</v>
      </c>
      <c r="L72" t="n">
        <v>0</v>
      </c>
      <c r="M72" t="n">
        <v>0</v>
      </c>
      <c r="N72" t="n">
        <v>0</v>
      </c>
      <c r="O72" t="n">
        <v>3</v>
      </c>
      <c r="P72" t="n">
        <v>0</v>
      </c>
      <c r="Q72" t="n">
        <v>3</v>
      </c>
      <c r="R72" s="2" t="inlineStr">
        <is>
          <t>Gropticka
Spillkråka
Talltita</t>
        </is>
      </c>
      <c r="S72">
        <f>HYPERLINK("https://klasma.github.io/Logging_1882/artfynd/A 60537-2020 artfynd.xlsx", "A 60537-2020")</f>
        <v/>
      </c>
      <c r="T72">
        <f>HYPERLINK("https://klasma.github.io/Logging_1882/kartor/A 60537-2020 karta.png", "A 60537-2020")</f>
        <v/>
      </c>
      <c r="V72">
        <f>HYPERLINK("https://klasma.github.io/Logging_1882/klagomål/A 60537-2020 FSC-klagomål.docx", "A 60537-2020")</f>
        <v/>
      </c>
      <c r="W72">
        <f>HYPERLINK("https://klasma.github.io/Logging_1882/klagomålsmail/A 60537-2020 FSC-klagomål mail.docx", "A 60537-2020")</f>
        <v/>
      </c>
      <c r="X72">
        <f>HYPERLINK("https://klasma.github.io/Logging_1882/tillsyn/A 60537-2020 tillsynsbegäran.docx", "A 60537-2020")</f>
        <v/>
      </c>
      <c r="Y72">
        <f>HYPERLINK("https://klasma.github.io/Logging_1882/tillsynsmail/A 60537-2020 tillsynsbegäran mail.docx", "A 60537-2020")</f>
        <v/>
      </c>
    </row>
    <row r="73" ht="15" customHeight="1">
      <c r="A73" t="inlineStr">
        <is>
          <t>A 17866-2021</t>
        </is>
      </c>
      <c r="B73" s="1" t="n">
        <v>44300</v>
      </c>
      <c r="C73" s="1" t="n">
        <v>45222</v>
      </c>
      <c r="D73" t="inlineStr">
        <is>
          <t>ÖREBRO LÄN</t>
        </is>
      </c>
      <c r="E73" t="inlineStr">
        <is>
          <t>ASKERSUND</t>
        </is>
      </c>
      <c r="G73" t="n">
        <v>2.5</v>
      </c>
      <c r="H73" t="n">
        <v>2</v>
      </c>
      <c r="I73" t="n">
        <v>0</v>
      </c>
      <c r="J73" t="n">
        <v>1</v>
      </c>
      <c r="K73" t="n">
        <v>0</v>
      </c>
      <c r="L73" t="n">
        <v>0</v>
      </c>
      <c r="M73" t="n">
        <v>0</v>
      </c>
      <c r="N73" t="n">
        <v>0</v>
      </c>
      <c r="O73" t="n">
        <v>1</v>
      </c>
      <c r="P73" t="n">
        <v>0</v>
      </c>
      <c r="Q73" t="n">
        <v>3</v>
      </c>
      <c r="R73" s="2" t="inlineStr">
        <is>
          <t>Svinrot
Blåsippa
Gullviva</t>
        </is>
      </c>
      <c r="S73">
        <f>HYPERLINK("https://klasma.github.io/Logging_1882/artfynd/A 17866-2021 artfynd.xlsx", "A 17866-2021")</f>
        <v/>
      </c>
      <c r="T73">
        <f>HYPERLINK("https://klasma.github.io/Logging_1882/kartor/A 17866-2021 karta.png", "A 17866-2021")</f>
        <v/>
      </c>
      <c r="V73">
        <f>HYPERLINK("https://klasma.github.io/Logging_1882/klagomål/A 17866-2021 FSC-klagomål.docx", "A 17866-2021")</f>
        <v/>
      </c>
      <c r="W73">
        <f>HYPERLINK("https://klasma.github.io/Logging_1882/klagomålsmail/A 17866-2021 FSC-klagomål mail.docx", "A 17866-2021")</f>
        <v/>
      </c>
      <c r="X73">
        <f>HYPERLINK("https://klasma.github.io/Logging_1882/tillsyn/A 17866-2021 tillsynsbegäran.docx", "A 17866-2021")</f>
        <v/>
      </c>
      <c r="Y73">
        <f>HYPERLINK("https://klasma.github.io/Logging_1882/tillsynsmail/A 17866-2021 tillsynsbegäran mail.docx", "A 17866-2021")</f>
        <v/>
      </c>
    </row>
    <row r="74" ht="15" customHeight="1">
      <c r="A74" t="inlineStr">
        <is>
          <t>A 20838-2021</t>
        </is>
      </c>
      <c r="B74" s="1" t="n">
        <v>44319</v>
      </c>
      <c r="C74" s="1" t="n">
        <v>45222</v>
      </c>
      <c r="D74" t="inlineStr">
        <is>
          <t>ÖREBRO LÄN</t>
        </is>
      </c>
      <c r="E74" t="inlineStr">
        <is>
          <t>ÖREBRO</t>
        </is>
      </c>
      <c r="G74" t="n">
        <v>1.9</v>
      </c>
      <c r="H74" t="n">
        <v>0</v>
      </c>
      <c r="I74" t="n">
        <v>3</v>
      </c>
      <c r="J74" t="n">
        <v>0</v>
      </c>
      <c r="K74" t="n">
        <v>0</v>
      </c>
      <c r="L74" t="n">
        <v>0</v>
      </c>
      <c r="M74" t="n">
        <v>0</v>
      </c>
      <c r="N74" t="n">
        <v>0</v>
      </c>
      <c r="O74" t="n">
        <v>0</v>
      </c>
      <c r="P74" t="n">
        <v>0</v>
      </c>
      <c r="Q74" t="n">
        <v>3</v>
      </c>
      <c r="R74" s="2" t="inlineStr">
        <is>
          <t>Fjällig taggsvamp s.str.
Rödgul trumpetsvamp
Toppvaxskivling</t>
        </is>
      </c>
      <c r="S74">
        <f>HYPERLINK("https://klasma.github.io/Logging_1880/artfynd/A 20838-2021 artfynd.xlsx", "A 20838-2021")</f>
        <v/>
      </c>
      <c r="T74">
        <f>HYPERLINK("https://klasma.github.io/Logging_1880/kartor/A 20838-2021 karta.png", "A 20838-2021")</f>
        <v/>
      </c>
      <c r="V74">
        <f>HYPERLINK("https://klasma.github.io/Logging_1880/klagomål/A 20838-2021 FSC-klagomål.docx", "A 20838-2021")</f>
        <v/>
      </c>
      <c r="W74">
        <f>HYPERLINK("https://klasma.github.io/Logging_1880/klagomålsmail/A 20838-2021 FSC-klagomål mail.docx", "A 20838-2021")</f>
        <v/>
      </c>
      <c r="X74">
        <f>HYPERLINK("https://klasma.github.io/Logging_1880/tillsyn/A 20838-2021 tillsynsbegäran.docx", "A 20838-2021")</f>
        <v/>
      </c>
      <c r="Y74">
        <f>HYPERLINK("https://klasma.github.io/Logging_1880/tillsynsmail/A 20838-2021 tillsynsbegäran mail.docx", "A 20838-2021")</f>
        <v/>
      </c>
    </row>
    <row r="75" ht="15" customHeight="1">
      <c r="A75" t="inlineStr">
        <is>
          <t>A 32709-2021</t>
        </is>
      </c>
      <c r="B75" s="1" t="n">
        <v>44375</v>
      </c>
      <c r="C75" s="1" t="n">
        <v>45222</v>
      </c>
      <c r="D75" t="inlineStr">
        <is>
          <t>ÖREBRO LÄN</t>
        </is>
      </c>
      <c r="E75" t="inlineStr">
        <is>
          <t>ASKERSUND</t>
        </is>
      </c>
      <c r="F75" t="inlineStr">
        <is>
          <t>Sveaskog</t>
        </is>
      </c>
      <c r="G75" t="n">
        <v>6.8</v>
      </c>
      <c r="H75" t="n">
        <v>1</v>
      </c>
      <c r="I75" t="n">
        <v>1</v>
      </c>
      <c r="J75" t="n">
        <v>1</v>
      </c>
      <c r="K75" t="n">
        <v>0</v>
      </c>
      <c r="L75" t="n">
        <v>0</v>
      </c>
      <c r="M75" t="n">
        <v>0</v>
      </c>
      <c r="N75" t="n">
        <v>0</v>
      </c>
      <c r="O75" t="n">
        <v>1</v>
      </c>
      <c r="P75" t="n">
        <v>0</v>
      </c>
      <c r="Q75" t="n">
        <v>3</v>
      </c>
      <c r="R75" s="2" t="inlineStr">
        <is>
          <t>Skogsklocka
Vätteros
Blåsippa</t>
        </is>
      </c>
      <c r="S75">
        <f>HYPERLINK("https://klasma.github.io/Logging_1882/artfynd/A 32709-2021 artfynd.xlsx", "A 32709-2021")</f>
        <v/>
      </c>
      <c r="T75">
        <f>HYPERLINK("https://klasma.github.io/Logging_1882/kartor/A 32709-2021 karta.png", "A 32709-2021")</f>
        <v/>
      </c>
      <c r="V75">
        <f>HYPERLINK("https://klasma.github.io/Logging_1882/klagomål/A 32709-2021 FSC-klagomål.docx", "A 32709-2021")</f>
        <v/>
      </c>
      <c r="W75">
        <f>HYPERLINK("https://klasma.github.io/Logging_1882/klagomålsmail/A 32709-2021 FSC-klagomål mail.docx", "A 32709-2021")</f>
        <v/>
      </c>
      <c r="X75">
        <f>HYPERLINK("https://klasma.github.io/Logging_1882/tillsyn/A 32709-2021 tillsynsbegäran.docx", "A 32709-2021")</f>
        <v/>
      </c>
      <c r="Y75">
        <f>HYPERLINK("https://klasma.github.io/Logging_1882/tillsynsmail/A 32709-2021 tillsynsbegäran mail.docx", "A 32709-2021")</f>
        <v/>
      </c>
    </row>
    <row r="76" ht="15" customHeight="1">
      <c r="A76" t="inlineStr">
        <is>
          <t>A 45233-2021</t>
        </is>
      </c>
      <c r="B76" s="1" t="n">
        <v>44439</v>
      </c>
      <c r="C76" s="1" t="n">
        <v>45222</v>
      </c>
      <c r="D76" t="inlineStr">
        <is>
          <t>ÖREBRO LÄN</t>
        </is>
      </c>
      <c r="E76" t="inlineStr">
        <is>
          <t>NORA</t>
        </is>
      </c>
      <c r="G76" t="n">
        <v>1.7</v>
      </c>
      <c r="H76" t="n">
        <v>0</v>
      </c>
      <c r="I76" t="n">
        <v>1</v>
      </c>
      <c r="J76" t="n">
        <v>2</v>
      </c>
      <c r="K76" t="n">
        <v>0</v>
      </c>
      <c r="L76" t="n">
        <v>0</v>
      </c>
      <c r="M76" t="n">
        <v>0</v>
      </c>
      <c r="N76" t="n">
        <v>0</v>
      </c>
      <c r="O76" t="n">
        <v>2</v>
      </c>
      <c r="P76" t="n">
        <v>0</v>
      </c>
      <c r="Q76" t="n">
        <v>3</v>
      </c>
      <c r="R76" s="2" t="inlineStr">
        <is>
          <t>Skrovlig taggsvamp
Vedskivlav
Dropptaggsvamp</t>
        </is>
      </c>
      <c r="S76">
        <f>HYPERLINK("https://klasma.github.io/Logging_1884/artfynd/A 45233-2021 artfynd.xlsx", "A 45233-2021")</f>
        <v/>
      </c>
      <c r="T76">
        <f>HYPERLINK("https://klasma.github.io/Logging_1884/kartor/A 45233-2021 karta.png", "A 45233-2021")</f>
        <v/>
      </c>
      <c r="V76">
        <f>HYPERLINK("https://klasma.github.io/Logging_1884/klagomål/A 45233-2021 FSC-klagomål.docx", "A 45233-2021")</f>
        <v/>
      </c>
      <c r="W76">
        <f>HYPERLINK("https://klasma.github.io/Logging_1884/klagomålsmail/A 45233-2021 FSC-klagomål mail.docx", "A 45233-2021")</f>
        <v/>
      </c>
      <c r="X76">
        <f>HYPERLINK("https://klasma.github.io/Logging_1884/tillsyn/A 45233-2021 tillsynsbegäran.docx", "A 45233-2021")</f>
        <v/>
      </c>
      <c r="Y76">
        <f>HYPERLINK("https://klasma.github.io/Logging_1884/tillsynsmail/A 45233-2021 tillsynsbegäran mail.docx", "A 45233-2021")</f>
        <v/>
      </c>
    </row>
    <row r="77" ht="15" customHeight="1">
      <c r="A77" t="inlineStr">
        <is>
          <t>A 55028-2021</t>
        </is>
      </c>
      <c r="B77" s="1" t="n">
        <v>44474</v>
      </c>
      <c r="C77" s="1" t="n">
        <v>45222</v>
      </c>
      <c r="D77" t="inlineStr">
        <is>
          <t>ÖREBRO LÄN</t>
        </is>
      </c>
      <c r="E77" t="inlineStr">
        <is>
          <t>ASKERSUND</t>
        </is>
      </c>
      <c r="F77" t="inlineStr">
        <is>
          <t>Sveaskog</t>
        </is>
      </c>
      <c r="G77" t="n">
        <v>2.3</v>
      </c>
      <c r="H77" t="n">
        <v>0</v>
      </c>
      <c r="I77" t="n">
        <v>1</v>
      </c>
      <c r="J77" t="n">
        <v>2</v>
      </c>
      <c r="K77" t="n">
        <v>0</v>
      </c>
      <c r="L77" t="n">
        <v>0</v>
      </c>
      <c r="M77" t="n">
        <v>0</v>
      </c>
      <c r="N77" t="n">
        <v>0</v>
      </c>
      <c r="O77" t="n">
        <v>2</v>
      </c>
      <c r="P77" t="n">
        <v>0</v>
      </c>
      <c r="Q77" t="n">
        <v>3</v>
      </c>
      <c r="R77" s="2" t="inlineStr">
        <is>
          <t>Slåtterfibbla
Svinrot
Svart trolldruva</t>
        </is>
      </c>
      <c r="S77">
        <f>HYPERLINK("https://klasma.github.io/Logging_1882/artfynd/A 55028-2021 artfynd.xlsx", "A 55028-2021")</f>
        <v/>
      </c>
      <c r="T77">
        <f>HYPERLINK("https://klasma.github.io/Logging_1882/kartor/A 55028-2021 karta.png", "A 55028-2021")</f>
        <v/>
      </c>
      <c r="V77">
        <f>HYPERLINK("https://klasma.github.io/Logging_1882/klagomål/A 55028-2021 FSC-klagomål.docx", "A 55028-2021")</f>
        <v/>
      </c>
      <c r="W77">
        <f>HYPERLINK("https://klasma.github.io/Logging_1882/klagomålsmail/A 55028-2021 FSC-klagomål mail.docx", "A 55028-2021")</f>
        <v/>
      </c>
      <c r="X77">
        <f>HYPERLINK("https://klasma.github.io/Logging_1882/tillsyn/A 55028-2021 tillsynsbegäran.docx", "A 55028-2021")</f>
        <v/>
      </c>
      <c r="Y77">
        <f>HYPERLINK("https://klasma.github.io/Logging_1882/tillsynsmail/A 55028-2021 tillsynsbegäran mail.docx", "A 55028-2021")</f>
        <v/>
      </c>
    </row>
    <row r="78" ht="15" customHeight="1">
      <c r="A78" t="inlineStr">
        <is>
          <t>A 60839-2021</t>
        </is>
      </c>
      <c r="B78" s="1" t="n">
        <v>44495</v>
      </c>
      <c r="C78" s="1" t="n">
        <v>45222</v>
      </c>
      <c r="D78" t="inlineStr">
        <is>
          <t>ÖREBRO LÄN</t>
        </is>
      </c>
      <c r="E78" t="inlineStr">
        <is>
          <t>NORA</t>
        </is>
      </c>
      <c r="F78" t="inlineStr">
        <is>
          <t>Kommuner</t>
        </is>
      </c>
      <c r="G78" t="n">
        <v>3.6</v>
      </c>
      <c r="H78" t="n">
        <v>2</v>
      </c>
      <c r="I78" t="n">
        <v>0</v>
      </c>
      <c r="J78" t="n">
        <v>2</v>
      </c>
      <c r="K78" t="n">
        <v>0</v>
      </c>
      <c r="L78" t="n">
        <v>0</v>
      </c>
      <c r="M78" t="n">
        <v>0</v>
      </c>
      <c r="N78" t="n">
        <v>0</v>
      </c>
      <c r="O78" t="n">
        <v>2</v>
      </c>
      <c r="P78" t="n">
        <v>0</v>
      </c>
      <c r="Q78" t="n">
        <v>3</v>
      </c>
      <c r="R78" s="2" t="inlineStr">
        <is>
          <t>Brunklöver
Drillsnäppa
Grönvit nattviol</t>
        </is>
      </c>
      <c r="S78">
        <f>HYPERLINK("https://klasma.github.io/Logging_1884/artfynd/A 60839-2021 artfynd.xlsx", "A 60839-2021")</f>
        <v/>
      </c>
      <c r="T78">
        <f>HYPERLINK("https://klasma.github.io/Logging_1884/kartor/A 60839-2021 karta.png", "A 60839-2021")</f>
        <v/>
      </c>
      <c r="V78">
        <f>HYPERLINK("https://klasma.github.io/Logging_1884/klagomål/A 60839-2021 FSC-klagomål.docx", "A 60839-2021")</f>
        <v/>
      </c>
      <c r="W78">
        <f>HYPERLINK("https://klasma.github.io/Logging_1884/klagomålsmail/A 60839-2021 FSC-klagomål mail.docx", "A 60839-2021")</f>
        <v/>
      </c>
      <c r="X78">
        <f>HYPERLINK("https://klasma.github.io/Logging_1884/tillsyn/A 60839-2021 tillsynsbegäran.docx", "A 60839-2021")</f>
        <v/>
      </c>
      <c r="Y78">
        <f>HYPERLINK("https://klasma.github.io/Logging_1884/tillsynsmail/A 60839-2021 tillsynsbegäran mail.docx", "A 60839-2021")</f>
        <v/>
      </c>
    </row>
    <row r="79" ht="15" customHeight="1">
      <c r="A79" t="inlineStr">
        <is>
          <t>A 17970-2022</t>
        </is>
      </c>
      <c r="B79" s="1" t="n">
        <v>44683</v>
      </c>
      <c r="C79" s="1" t="n">
        <v>45222</v>
      </c>
      <c r="D79" t="inlineStr">
        <is>
          <t>ÖREBRO LÄN</t>
        </is>
      </c>
      <c r="E79" t="inlineStr">
        <is>
          <t>HALLSBERG</t>
        </is>
      </c>
      <c r="G79" t="n">
        <v>2.7</v>
      </c>
      <c r="H79" t="n">
        <v>2</v>
      </c>
      <c r="I79" t="n">
        <v>0</v>
      </c>
      <c r="J79" t="n">
        <v>2</v>
      </c>
      <c r="K79" t="n">
        <v>0</v>
      </c>
      <c r="L79" t="n">
        <v>0</v>
      </c>
      <c r="M79" t="n">
        <v>0</v>
      </c>
      <c r="N79" t="n">
        <v>0</v>
      </c>
      <c r="O79" t="n">
        <v>2</v>
      </c>
      <c r="P79" t="n">
        <v>0</v>
      </c>
      <c r="Q79" t="n">
        <v>3</v>
      </c>
      <c r="R79" s="2" t="inlineStr">
        <is>
          <t>Reliktbock
Spillkråka
Blåsippa</t>
        </is>
      </c>
      <c r="S79">
        <f>HYPERLINK("https://klasma.github.io/Logging_1861/artfynd/A 17970-2022 artfynd.xlsx", "A 17970-2022")</f>
        <v/>
      </c>
      <c r="T79">
        <f>HYPERLINK("https://klasma.github.io/Logging_1861/kartor/A 17970-2022 karta.png", "A 17970-2022")</f>
        <v/>
      </c>
      <c r="V79">
        <f>HYPERLINK("https://klasma.github.io/Logging_1861/klagomål/A 17970-2022 FSC-klagomål.docx", "A 17970-2022")</f>
        <v/>
      </c>
      <c r="W79">
        <f>HYPERLINK("https://klasma.github.io/Logging_1861/klagomålsmail/A 17970-2022 FSC-klagomål mail.docx", "A 17970-2022")</f>
        <v/>
      </c>
      <c r="X79">
        <f>HYPERLINK("https://klasma.github.io/Logging_1861/tillsyn/A 17970-2022 tillsynsbegäran.docx", "A 17970-2022")</f>
        <v/>
      </c>
      <c r="Y79">
        <f>HYPERLINK("https://klasma.github.io/Logging_1861/tillsynsmail/A 17970-2022 tillsynsbegäran mail.docx", "A 17970-2022")</f>
        <v/>
      </c>
    </row>
    <row r="80" ht="15" customHeight="1">
      <c r="A80" t="inlineStr">
        <is>
          <t>A 24677-2022</t>
        </is>
      </c>
      <c r="B80" s="1" t="n">
        <v>44727</v>
      </c>
      <c r="C80" s="1" t="n">
        <v>45222</v>
      </c>
      <c r="D80" t="inlineStr">
        <is>
          <t>ÖREBRO LÄN</t>
        </is>
      </c>
      <c r="E80" t="inlineStr">
        <is>
          <t>ÖREBRO</t>
        </is>
      </c>
      <c r="G80" t="n">
        <v>3.3</v>
      </c>
      <c r="H80" t="n">
        <v>0</v>
      </c>
      <c r="I80" t="n">
        <v>1</v>
      </c>
      <c r="J80" t="n">
        <v>2</v>
      </c>
      <c r="K80" t="n">
        <v>0</v>
      </c>
      <c r="L80" t="n">
        <v>0</v>
      </c>
      <c r="M80" t="n">
        <v>0</v>
      </c>
      <c r="N80" t="n">
        <v>0</v>
      </c>
      <c r="O80" t="n">
        <v>2</v>
      </c>
      <c r="P80" t="n">
        <v>0</v>
      </c>
      <c r="Q80" t="n">
        <v>3</v>
      </c>
      <c r="R80" s="2" t="inlineStr">
        <is>
          <t>Motaggsvamp
Vedskivlav
Dropptaggsvamp</t>
        </is>
      </c>
      <c r="S80">
        <f>HYPERLINK("https://klasma.github.io/Logging_1880/artfynd/A 24677-2022 artfynd.xlsx", "A 24677-2022")</f>
        <v/>
      </c>
      <c r="T80">
        <f>HYPERLINK("https://klasma.github.io/Logging_1880/kartor/A 24677-2022 karta.png", "A 24677-2022")</f>
        <v/>
      </c>
      <c r="V80">
        <f>HYPERLINK("https://klasma.github.io/Logging_1880/klagomål/A 24677-2022 FSC-klagomål.docx", "A 24677-2022")</f>
        <v/>
      </c>
      <c r="W80">
        <f>HYPERLINK("https://klasma.github.io/Logging_1880/klagomålsmail/A 24677-2022 FSC-klagomål mail.docx", "A 24677-2022")</f>
        <v/>
      </c>
      <c r="X80">
        <f>HYPERLINK("https://klasma.github.io/Logging_1880/tillsyn/A 24677-2022 tillsynsbegäran.docx", "A 24677-2022")</f>
        <v/>
      </c>
      <c r="Y80">
        <f>HYPERLINK("https://klasma.github.io/Logging_1880/tillsynsmail/A 24677-2022 tillsynsbegäran mail.docx", "A 24677-2022")</f>
        <v/>
      </c>
    </row>
    <row r="81" ht="15" customHeight="1">
      <c r="A81" t="inlineStr">
        <is>
          <t>A 29487-2022</t>
        </is>
      </c>
      <c r="B81" s="1" t="n">
        <v>44753</v>
      </c>
      <c r="C81" s="1" t="n">
        <v>45222</v>
      </c>
      <c r="D81" t="inlineStr">
        <is>
          <t>ÖREBRO LÄN</t>
        </is>
      </c>
      <c r="E81" t="inlineStr">
        <is>
          <t>ÖREBRO</t>
        </is>
      </c>
      <c r="F81" t="inlineStr">
        <is>
          <t>Kommuner</t>
        </is>
      </c>
      <c r="G81" t="n">
        <v>0.7</v>
      </c>
      <c r="H81" t="n">
        <v>0</v>
      </c>
      <c r="I81" t="n">
        <v>2</v>
      </c>
      <c r="J81" t="n">
        <v>1</v>
      </c>
      <c r="K81" t="n">
        <v>0</v>
      </c>
      <c r="L81" t="n">
        <v>0</v>
      </c>
      <c r="M81" t="n">
        <v>0</v>
      </c>
      <c r="N81" t="n">
        <v>0</v>
      </c>
      <c r="O81" t="n">
        <v>1</v>
      </c>
      <c r="P81" t="n">
        <v>0</v>
      </c>
      <c r="Q81" t="n">
        <v>3</v>
      </c>
      <c r="R81" s="2" t="inlineStr">
        <is>
          <t>Svartvit taggsvamp
Fjällig taggsvamp s.str.
Rödgul trumpetsvamp</t>
        </is>
      </c>
      <c r="S81">
        <f>HYPERLINK("https://klasma.github.io/Logging_1880/artfynd/A 29487-2022 artfynd.xlsx", "A 29487-2022")</f>
        <v/>
      </c>
      <c r="T81">
        <f>HYPERLINK("https://klasma.github.io/Logging_1880/kartor/A 29487-2022 karta.png", "A 29487-2022")</f>
        <v/>
      </c>
      <c r="V81">
        <f>HYPERLINK("https://klasma.github.io/Logging_1880/klagomål/A 29487-2022 FSC-klagomål.docx", "A 29487-2022")</f>
        <v/>
      </c>
      <c r="W81">
        <f>HYPERLINK("https://klasma.github.io/Logging_1880/klagomålsmail/A 29487-2022 FSC-klagomål mail.docx", "A 29487-2022")</f>
        <v/>
      </c>
      <c r="X81">
        <f>HYPERLINK("https://klasma.github.io/Logging_1880/tillsyn/A 29487-2022 tillsynsbegäran.docx", "A 29487-2022")</f>
        <v/>
      </c>
      <c r="Y81">
        <f>HYPERLINK("https://klasma.github.io/Logging_1880/tillsynsmail/A 29487-2022 tillsynsbegäran mail.docx", "A 29487-2022")</f>
        <v/>
      </c>
    </row>
    <row r="82" ht="15" customHeight="1">
      <c r="A82" t="inlineStr">
        <is>
          <t>A 32782-2022</t>
        </is>
      </c>
      <c r="B82" s="1" t="n">
        <v>44783</v>
      </c>
      <c r="C82" s="1" t="n">
        <v>45222</v>
      </c>
      <c r="D82" t="inlineStr">
        <is>
          <t>ÖREBRO LÄN</t>
        </is>
      </c>
      <c r="E82" t="inlineStr">
        <is>
          <t>ÖREBRO</t>
        </is>
      </c>
      <c r="G82" t="n">
        <v>2.8</v>
      </c>
      <c r="H82" t="n">
        <v>2</v>
      </c>
      <c r="I82" t="n">
        <v>0</v>
      </c>
      <c r="J82" t="n">
        <v>1</v>
      </c>
      <c r="K82" t="n">
        <v>0</v>
      </c>
      <c r="L82" t="n">
        <v>0</v>
      </c>
      <c r="M82" t="n">
        <v>0</v>
      </c>
      <c r="N82" t="n">
        <v>0</v>
      </c>
      <c r="O82" t="n">
        <v>1</v>
      </c>
      <c r="P82" t="n">
        <v>0</v>
      </c>
      <c r="Q82" t="n">
        <v>3</v>
      </c>
      <c r="R82" s="2" t="inlineStr">
        <is>
          <t>Loppstarr
Blåsippa
Lopplummer</t>
        </is>
      </c>
      <c r="S82">
        <f>HYPERLINK("https://klasma.github.io/Logging_1880/artfynd/A 32782-2022 artfynd.xlsx", "A 32782-2022")</f>
        <v/>
      </c>
      <c r="T82">
        <f>HYPERLINK("https://klasma.github.io/Logging_1880/kartor/A 32782-2022 karta.png", "A 32782-2022")</f>
        <v/>
      </c>
      <c r="V82">
        <f>HYPERLINK("https://klasma.github.io/Logging_1880/klagomål/A 32782-2022 FSC-klagomål.docx", "A 32782-2022")</f>
        <v/>
      </c>
      <c r="W82">
        <f>HYPERLINK("https://klasma.github.io/Logging_1880/klagomålsmail/A 32782-2022 FSC-klagomål mail.docx", "A 32782-2022")</f>
        <v/>
      </c>
      <c r="X82">
        <f>HYPERLINK("https://klasma.github.io/Logging_1880/tillsyn/A 32782-2022 tillsynsbegäran.docx", "A 32782-2022")</f>
        <v/>
      </c>
      <c r="Y82">
        <f>HYPERLINK("https://klasma.github.io/Logging_1880/tillsynsmail/A 32782-2022 tillsynsbegäran mail.docx", "A 32782-2022")</f>
        <v/>
      </c>
    </row>
    <row r="83" ht="15" customHeight="1">
      <c r="A83" t="inlineStr">
        <is>
          <t>A 38299-2022</t>
        </is>
      </c>
      <c r="B83" s="1" t="n">
        <v>44812</v>
      </c>
      <c r="C83" s="1" t="n">
        <v>45222</v>
      </c>
      <c r="D83" t="inlineStr">
        <is>
          <t>ÖREBRO LÄN</t>
        </is>
      </c>
      <c r="E83" t="inlineStr">
        <is>
          <t>ASKERSUND</t>
        </is>
      </c>
      <c r="G83" t="n">
        <v>6.2</v>
      </c>
      <c r="H83" t="n">
        <v>1</v>
      </c>
      <c r="I83" t="n">
        <v>2</v>
      </c>
      <c r="J83" t="n">
        <v>0</v>
      </c>
      <c r="K83" t="n">
        <v>0</v>
      </c>
      <c r="L83" t="n">
        <v>0</v>
      </c>
      <c r="M83" t="n">
        <v>0</v>
      </c>
      <c r="N83" t="n">
        <v>0</v>
      </c>
      <c r="O83" t="n">
        <v>0</v>
      </c>
      <c r="P83" t="n">
        <v>0</v>
      </c>
      <c r="Q83" t="n">
        <v>3</v>
      </c>
      <c r="R83" s="2" t="inlineStr">
        <is>
          <t>Mörk husmossa
Skogshakmossa
Nattviol</t>
        </is>
      </c>
      <c r="S83">
        <f>HYPERLINK("https://klasma.github.io/Logging_1882/artfynd/A 38299-2022 artfynd.xlsx", "A 38299-2022")</f>
        <v/>
      </c>
      <c r="T83">
        <f>HYPERLINK("https://klasma.github.io/Logging_1882/kartor/A 38299-2022 karta.png", "A 38299-2022")</f>
        <v/>
      </c>
      <c r="V83">
        <f>HYPERLINK("https://klasma.github.io/Logging_1882/klagomål/A 38299-2022 FSC-klagomål.docx", "A 38299-2022")</f>
        <v/>
      </c>
      <c r="W83">
        <f>HYPERLINK("https://klasma.github.io/Logging_1882/klagomålsmail/A 38299-2022 FSC-klagomål mail.docx", "A 38299-2022")</f>
        <v/>
      </c>
      <c r="X83">
        <f>HYPERLINK("https://klasma.github.io/Logging_1882/tillsyn/A 38299-2022 tillsynsbegäran.docx", "A 38299-2022")</f>
        <v/>
      </c>
      <c r="Y83">
        <f>HYPERLINK("https://klasma.github.io/Logging_1882/tillsynsmail/A 38299-2022 tillsynsbegäran mail.docx", "A 38299-2022")</f>
        <v/>
      </c>
    </row>
    <row r="84" ht="15" customHeight="1">
      <c r="A84" t="inlineStr">
        <is>
          <t>A 54373-2022</t>
        </is>
      </c>
      <c r="B84" s="1" t="n">
        <v>44879</v>
      </c>
      <c r="C84" s="1" t="n">
        <v>45222</v>
      </c>
      <c r="D84" t="inlineStr">
        <is>
          <t>ÖREBRO LÄN</t>
        </is>
      </c>
      <c r="E84" t="inlineStr">
        <is>
          <t>KUMLA</t>
        </is>
      </c>
      <c r="F84" t="inlineStr">
        <is>
          <t>Kommuner</t>
        </is>
      </c>
      <c r="G84" t="n">
        <v>0.6</v>
      </c>
      <c r="H84" t="n">
        <v>1</v>
      </c>
      <c r="I84" t="n">
        <v>0</v>
      </c>
      <c r="J84" t="n">
        <v>1</v>
      </c>
      <c r="K84" t="n">
        <v>1</v>
      </c>
      <c r="L84" t="n">
        <v>0</v>
      </c>
      <c r="M84" t="n">
        <v>0</v>
      </c>
      <c r="N84" t="n">
        <v>0</v>
      </c>
      <c r="O84" t="n">
        <v>2</v>
      </c>
      <c r="P84" t="n">
        <v>1</v>
      </c>
      <c r="Q84" t="n">
        <v>3</v>
      </c>
      <c r="R84" s="2" t="inlineStr">
        <is>
          <t>Ruttaggsvamp
Blå taggsvamp
Gullviva</t>
        </is>
      </c>
      <c r="S84">
        <f>HYPERLINK("https://klasma.github.io/Logging_1881/artfynd/A 54373-2022 artfynd.xlsx", "A 54373-2022")</f>
        <v/>
      </c>
      <c r="T84">
        <f>HYPERLINK("https://klasma.github.io/Logging_1881/kartor/A 54373-2022 karta.png", "A 54373-2022")</f>
        <v/>
      </c>
      <c r="V84">
        <f>HYPERLINK("https://klasma.github.io/Logging_1881/klagomål/A 54373-2022 FSC-klagomål.docx", "A 54373-2022")</f>
        <v/>
      </c>
      <c r="W84">
        <f>HYPERLINK("https://klasma.github.io/Logging_1881/klagomålsmail/A 54373-2022 FSC-klagomål mail.docx", "A 54373-2022")</f>
        <v/>
      </c>
      <c r="X84">
        <f>HYPERLINK("https://klasma.github.io/Logging_1881/tillsyn/A 54373-2022 tillsynsbegäran.docx", "A 54373-2022")</f>
        <v/>
      </c>
      <c r="Y84">
        <f>HYPERLINK("https://klasma.github.io/Logging_1881/tillsynsmail/A 54373-2022 tillsynsbegäran mail.docx", "A 54373-2022")</f>
        <v/>
      </c>
    </row>
    <row r="85" ht="15" customHeight="1">
      <c r="A85" t="inlineStr">
        <is>
          <t>A 2291-2023</t>
        </is>
      </c>
      <c r="B85" s="1" t="n">
        <v>44942</v>
      </c>
      <c r="C85" s="1" t="n">
        <v>45222</v>
      </c>
      <c r="D85" t="inlineStr">
        <is>
          <t>ÖREBRO LÄN</t>
        </is>
      </c>
      <c r="E85" t="inlineStr">
        <is>
          <t>ASKERSUND</t>
        </is>
      </c>
      <c r="G85" t="n">
        <v>0.7</v>
      </c>
      <c r="H85" t="n">
        <v>0</v>
      </c>
      <c r="I85" t="n">
        <v>3</v>
      </c>
      <c r="J85" t="n">
        <v>0</v>
      </c>
      <c r="K85" t="n">
        <v>0</v>
      </c>
      <c r="L85" t="n">
        <v>0</v>
      </c>
      <c r="M85" t="n">
        <v>0</v>
      </c>
      <c r="N85" t="n">
        <v>0</v>
      </c>
      <c r="O85" t="n">
        <v>0</v>
      </c>
      <c r="P85" t="n">
        <v>0</v>
      </c>
      <c r="Q85" t="n">
        <v>3</v>
      </c>
      <c r="R85" s="2" t="inlineStr">
        <is>
          <t>Svart trolldruva
Tibast
Underviol</t>
        </is>
      </c>
      <c r="S85">
        <f>HYPERLINK("https://klasma.github.io/Logging_1882/artfynd/A 2291-2023 artfynd.xlsx", "A 2291-2023")</f>
        <v/>
      </c>
      <c r="T85">
        <f>HYPERLINK("https://klasma.github.io/Logging_1882/kartor/A 2291-2023 karta.png", "A 2291-2023")</f>
        <v/>
      </c>
      <c r="V85">
        <f>HYPERLINK("https://klasma.github.io/Logging_1882/klagomål/A 2291-2023 FSC-klagomål.docx", "A 2291-2023")</f>
        <v/>
      </c>
      <c r="W85">
        <f>HYPERLINK("https://klasma.github.io/Logging_1882/klagomålsmail/A 2291-2023 FSC-klagomål mail.docx", "A 2291-2023")</f>
        <v/>
      </c>
      <c r="X85">
        <f>HYPERLINK("https://klasma.github.io/Logging_1882/tillsyn/A 2291-2023 tillsynsbegäran.docx", "A 2291-2023")</f>
        <v/>
      </c>
      <c r="Y85">
        <f>HYPERLINK("https://klasma.github.io/Logging_1882/tillsynsmail/A 2291-2023 tillsynsbegäran mail.docx", "A 2291-2023")</f>
        <v/>
      </c>
    </row>
    <row r="86" ht="15" customHeight="1">
      <c r="A86" t="inlineStr">
        <is>
          <t>A 3758-2023</t>
        </is>
      </c>
      <c r="B86" s="1" t="n">
        <v>44951</v>
      </c>
      <c r="C86" s="1" t="n">
        <v>45222</v>
      </c>
      <c r="D86" t="inlineStr">
        <is>
          <t>ÖREBRO LÄN</t>
        </is>
      </c>
      <c r="E86" t="inlineStr">
        <is>
          <t>ÖREBRO</t>
        </is>
      </c>
      <c r="G86" t="n">
        <v>6.5</v>
      </c>
      <c r="H86" t="n">
        <v>0</v>
      </c>
      <c r="I86" t="n">
        <v>2</v>
      </c>
      <c r="J86" t="n">
        <v>1</v>
      </c>
      <c r="K86" t="n">
        <v>0</v>
      </c>
      <c r="L86" t="n">
        <v>0</v>
      </c>
      <c r="M86" t="n">
        <v>0</v>
      </c>
      <c r="N86" t="n">
        <v>0</v>
      </c>
      <c r="O86" t="n">
        <v>1</v>
      </c>
      <c r="P86" t="n">
        <v>0</v>
      </c>
      <c r="Q86" t="n">
        <v>3</v>
      </c>
      <c r="R86" s="2" t="inlineStr">
        <is>
          <t>Hapalopilus aurantiacus
Granbarkgnagare
Kattfotslav</t>
        </is>
      </c>
      <c r="S86">
        <f>HYPERLINK("https://klasma.github.io/Logging_1880/artfynd/A 3758-2023 artfynd.xlsx", "A 3758-2023")</f>
        <v/>
      </c>
      <c r="T86">
        <f>HYPERLINK("https://klasma.github.io/Logging_1880/kartor/A 3758-2023 karta.png", "A 3758-2023")</f>
        <v/>
      </c>
      <c r="V86">
        <f>HYPERLINK("https://klasma.github.io/Logging_1880/klagomål/A 3758-2023 FSC-klagomål.docx", "A 3758-2023")</f>
        <v/>
      </c>
      <c r="W86">
        <f>HYPERLINK("https://klasma.github.io/Logging_1880/klagomålsmail/A 3758-2023 FSC-klagomål mail.docx", "A 3758-2023")</f>
        <v/>
      </c>
      <c r="X86">
        <f>HYPERLINK("https://klasma.github.io/Logging_1880/tillsyn/A 3758-2023 tillsynsbegäran.docx", "A 3758-2023")</f>
        <v/>
      </c>
      <c r="Y86">
        <f>HYPERLINK("https://klasma.github.io/Logging_1880/tillsynsmail/A 3758-2023 tillsynsbegäran mail.docx", "A 3758-2023")</f>
        <v/>
      </c>
    </row>
    <row r="87" ht="15" customHeight="1">
      <c r="A87" t="inlineStr">
        <is>
          <t>A 14408-2023</t>
        </is>
      </c>
      <c r="B87" s="1" t="n">
        <v>45012</v>
      </c>
      <c r="C87" s="1" t="n">
        <v>45222</v>
      </c>
      <c r="D87" t="inlineStr">
        <is>
          <t>ÖREBRO LÄN</t>
        </is>
      </c>
      <c r="E87" t="inlineStr">
        <is>
          <t>ÖREBRO</t>
        </is>
      </c>
      <c r="G87" t="n">
        <v>3.7</v>
      </c>
      <c r="H87" t="n">
        <v>1</v>
      </c>
      <c r="I87" t="n">
        <v>2</v>
      </c>
      <c r="J87" t="n">
        <v>1</v>
      </c>
      <c r="K87" t="n">
        <v>0</v>
      </c>
      <c r="L87" t="n">
        <v>0</v>
      </c>
      <c r="M87" t="n">
        <v>0</v>
      </c>
      <c r="N87" t="n">
        <v>0</v>
      </c>
      <c r="O87" t="n">
        <v>1</v>
      </c>
      <c r="P87" t="n">
        <v>0</v>
      </c>
      <c r="Q87" t="n">
        <v>3</v>
      </c>
      <c r="R87" s="2" t="inlineStr">
        <is>
          <t>Tretåig hackspett
Dropptaggsvamp
Vedticka</t>
        </is>
      </c>
      <c r="S87">
        <f>HYPERLINK("https://klasma.github.io/Logging_1880/artfynd/A 14408-2023 artfynd.xlsx", "A 14408-2023")</f>
        <v/>
      </c>
      <c r="T87">
        <f>HYPERLINK("https://klasma.github.io/Logging_1880/kartor/A 14408-2023 karta.png", "A 14408-2023")</f>
        <v/>
      </c>
      <c r="V87">
        <f>HYPERLINK("https://klasma.github.io/Logging_1880/klagomål/A 14408-2023 FSC-klagomål.docx", "A 14408-2023")</f>
        <v/>
      </c>
      <c r="W87">
        <f>HYPERLINK("https://klasma.github.io/Logging_1880/klagomålsmail/A 14408-2023 FSC-klagomål mail.docx", "A 14408-2023")</f>
        <v/>
      </c>
      <c r="X87">
        <f>HYPERLINK("https://klasma.github.io/Logging_1880/tillsyn/A 14408-2023 tillsynsbegäran.docx", "A 14408-2023")</f>
        <v/>
      </c>
      <c r="Y87">
        <f>HYPERLINK("https://klasma.github.io/Logging_1880/tillsynsmail/A 14408-2023 tillsynsbegäran mail.docx", "A 14408-2023")</f>
        <v/>
      </c>
    </row>
    <row r="88" ht="15" customHeight="1">
      <c r="A88" t="inlineStr">
        <is>
          <t>A 28035-2023</t>
        </is>
      </c>
      <c r="B88" s="1" t="n">
        <v>45099</v>
      </c>
      <c r="C88" s="1" t="n">
        <v>45222</v>
      </c>
      <c r="D88" t="inlineStr">
        <is>
          <t>ÖREBRO LÄN</t>
        </is>
      </c>
      <c r="E88" t="inlineStr">
        <is>
          <t>LINDESBERG</t>
        </is>
      </c>
      <c r="F88" t="inlineStr">
        <is>
          <t>Kyrkan</t>
        </is>
      </c>
      <c r="G88" t="n">
        <v>1.1</v>
      </c>
      <c r="H88" t="n">
        <v>1</v>
      </c>
      <c r="I88" t="n">
        <v>1</v>
      </c>
      <c r="J88" t="n">
        <v>0</v>
      </c>
      <c r="K88" t="n">
        <v>0</v>
      </c>
      <c r="L88" t="n">
        <v>2</v>
      </c>
      <c r="M88" t="n">
        <v>0</v>
      </c>
      <c r="N88" t="n">
        <v>0</v>
      </c>
      <c r="O88" t="n">
        <v>2</v>
      </c>
      <c r="P88" t="n">
        <v>2</v>
      </c>
      <c r="Q88" t="n">
        <v>3</v>
      </c>
      <c r="R88" s="2" t="inlineStr">
        <is>
          <t>Ask
Asknätfjäril
Tibast</t>
        </is>
      </c>
      <c r="S88">
        <f>HYPERLINK("https://klasma.github.io/Logging_1885/artfynd/A 28035-2023 artfynd.xlsx", "A 28035-2023")</f>
        <v/>
      </c>
      <c r="T88">
        <f>HYPERLINK("https://klasma.github.io/Logging_1885/kartor/A 28035-2023 karta.png", "A 28035-2023")</f>
        <v/>
      </c>
      <c r="V88">
        <f>HYPERLINK("https://klasma.github.io/Logging_1885/klagomål/A 28035-2023 FSC-klagomål.docx", "A 28035-2023")</f>
        <v/>
      </c>
      <c r="W88">
        <f>HYPERLINK("https://klasma.github.io/Logging_1885/klagomålsmail/A 28035-2023 FSC-klagomål mail.docx", "A 28035-2023")</f>
        <v/>
      </c>
      <c r="X88">
        <f>HYPERLINK("https://klasma.github.io/Logging_1885/tillsyn/A 28035-2023 tillsynsbegäran.docx", "A 28035-2023")</f>
        <v/>
      </c>
      <c r="Y88">
        <f>HYPERLINK("https://klasma.github.io/Logging_1885/tillsynsmail/A 28035-2023 tillsynsbegäran mail.docx", "A 28035-2023")</f>
        <v/>
      </c>
    </row>
    <row r="89" ht="15" customHeight="1">
      <c r="A89" t="inlineStr">
        <is>
          <t>A 30410-2023</t>
        </is>
      </c>
      <c r="B89" s="1" t="n">
        <v>45111</v>
      </c>
      <c r="C89" s="1" t="n">
        <v>45222</v>
      </c>
      <c r="D89" t="inlineStr">
        <is>
          <t>ÖREBRO LÄN</t>
        </is>
      </c>
      <c r="E89" t="inlineStr">
        <is>
          <t>ASKERSUND</t>
        </is>
      </c>
      <c r="F89" t="inlineStr">
        <is>
          <t>Sveaskog</t>
        </is>
      </c>
      <c r="G89" t="n">
        <v>4.9</v>
      </c>
      <c r="H89" t="n">
        <v>1</v>
      </c>
      <c r="I89" t="n">
        <v>0</v>
      </c>
      <c r="J89" t="n">
        <v>1</v>
      </c>
      <c r="K89" t="n">
        <v>0</v>
      </c>
      <c r="L89" t="n">
        <v>1</v>
      </c>
      <c r="M89" t="n">
        <v>0</v>
      </c>
      <c r="N89" t="n">
        <v>0</v>
      </c>
      <c r="O89" t="n">
        <v>2</v>
      </c>
      <c r="P89" t="n">
        <v>1</v>
      </c>
      <c r="Q89" t="n">
        <v>3</v>
      </c>
      <c r="R89" s="2" t="inlineStr">
        <is>
          <t>Ask
Slåtterfibbla
Blåsippa</t>
        </is>
      </c>
      <c r="S89">
        <f>HYPERLINK("https://klasma.github.io/Logging_1882/artfynd/A 30410-2023 artfynd.xlsx", "A 30410-2023")</f>
        <v/>
      </c>
      <c r="T89">
        <f>HYPERLINK("https://klasma.github.io/Logging_1882/kartor/A 30410-2023 karta.png", "A 30410-2023")</f>
        <v/>
      </c>
      <c r="V89">
        <f>HYPERLINK("https://klasma.github.io/Logging_1882/klagomål/A 30410-2023 FSC-klagomål.docx", "A 30410-2023")</f>
        <v/>
      </c>
      <c r="W89">
        <f>HYPERLINK("https://klasma.github.io/Logging_1882/klagomålsmail/A 30410-2023 FSC-klagomål mail.docx", "A 30410-2023")</f>
        <v/>
      </c>
      <c r="X89">
        <f>HYPERLINK("https://klasma.github.io/Logging_1882/tillsyn/A 30410-2023 tillsynsbegäran.docx", "A 30410-2023")</f>
        <v/>
      </c>
      <c r="Y89">
        <f>HYPERLINK("https://klasma.github.io/Logging_1882/tillsynsmail/A 30410-2023 tillsynsbegäran mail.docx", "A 30410-2023")</f>
        <v/>
      </c>
    </row>
    <row r="90" ht="15" customHeight="1">
      <c r="A90" t="inlineStr">
        <is>
          <t>A 34293-2023</t>
        </is>
      </c>
      <c r="B90" s="1" t="n">
        <v>45138</v>
      </c>
      <c r="C90" s="1" t="n">
        <v>45222</v>
      </c>
      <c r="D90" t="inlineStr">
        <is>
          <t>ÖREBRO LÄN</t>
        </is>
      </c>
      <c r="E90" t="inlineStr">
        <is>
          <t>LINDESBERG</t>
        </is>
      </c>
      <c r="F90" t="inlineStr">
        <is>
          <t>Sveaskog</t>
        </is>
      </c>
      <c r="G90" t="n">
        <v>0.5</v>
      </c>
      <c r="H90" t="n">
        <v>1</v>
      </c>
      <c r="I90" t="n">
        <v>3</v>
      </c>
      <c r="J90" t="n">
        <v>0</v>
      </c>
      <c r="K90" t="n">
        <v>0</v>
      </c>
      <c r="L90" t="n">
        <v>0</v>
      </c>
      <c r="M90" t="n">
        <v>0</v>
      </c>
      <c r="N90" t="n">
        <v>0</v>
      </c>
      <c r="O90" t="n">
        <v>0</v>
      </c>
      <c r="P90" t="n">
        <v>0</v>
      </c>
      <c r="Q90" t="n">
        <v>3</v>
      </c>
      <c r="R90" s="2" t="inlineStr">
        <is>
          <t>Dropptaggsvamp
Korallrot
Vedticka</t>
        </is>
      </c>
      <c r="S90">
        <f>HYPERLINK("https://klasma.github.io/Logging_1885/artfynd/A 34293-2023 artfynd.xlsx", "A 34293-2023")</f>
        <v/>
      </c>
      <c r="T90">
        <f>HYPERLINK("https://klasma.github.io/Logging_1885/kartor/A 34293-2023 karta.png", "A 34293-2023")</f>
        <v/>
      </c>
      <c r="V90">
        <f>HYPERLINK("https://klasma.github.io/Logging_1885/klagomål/A 34293-2023 FSC-klagomål.docx", "A 34293-2023")</f>
        <v/>
      </c>
      <c r="W90">
        <f>HYPERLINK("https://klasma.github.io/Logging_1885/klagomålsmail/A 34293-2023 FSC-klagomål mail.docx", "A 34293-2023")</f>
        <v/>
      </c>
      <c r="X90">
        <f>HYPERLINK("https://klasma.github.io/Logging_1885/tillsyn/A 34293-2023 tillsynsbegäran.docx", "A 34293-2023")</f>
        <v/>
      </c>
      <c r="Y90">
        <f>HYPERLINK("https://klasma.github.io/Logging_1885/tillsynsmail/A 34293-2023 tillsynsbegäran mail.docx", "A 34293-2023")</f>
        <v/>
      </c>
    </row>
    <row r="91" ht="15" customHeight="1">
      <c r="A91" t="inlineStr">
        <is>
          <t>A 56941-2018</t>
        </is>
      </c>
      <c r="B91" s="1" t="n">
        <v>43403</v>
      </c>
      <c r="C91" s="1" t="n">
        <v>45222</v>
      </c>
      <c r="D91" t="inlineStr">
        <is>
          <t>ÖREBRO LÄN</t>
        </is>
      </c>
      <c r="E91" t="inlineStr">
        <is>
          <t>NORA</t>
        </is>
      </c>
      <c r="G91" t="n">
        <v>1.8</v>
      </c>
      <c r="H91" t="n">
        <v>2</v>
      </c>
      <c r="I91" t="n">
        <v>0</v>
      </c>
      <c r="J91" t="n">
        <v>2</v>
      </c>
      <c r="K91" t="n">
        <v>0</v>
      </c>
      <c r="L91" t="n">
        <v>0</v>
      </c>
      <c r="M91" t="n">
        <v>0</v>
      </c>
      <c r="N91" t="n">
        <v>0</v>
      </c>
      <c r="O91" t="n">
        <v>2</v>
      </c>
      <c r="P91" t="n">
        <v>0</v>
      </c>
      <c r="Q91" t="n">
        <v>2</v>
      </c>
      <c r="R91" s="2" t="inlineStr">
        <is>
          <t>Gulsparv
Spillkråka</t>
        </is>
      </c>
      <c r="S91">
        <f>HYPERLINK("https://klasma.github.io/Logging_1884/artfynd/A 56941-2018 artfynd.xlsx", "A 56941-2018")</f>
        <v/>
      </c>
      <c r="T91">
        <f>HYPERLINK("https://klasma.github.io/Logging_1884/kartor/A 56941-2018 karta.png", "A 56941-2018")</f>
        <v/>
      </c>
      <c r="V91">
        <f>HYPERLINK("https://klasma.github.io/Logging_1884/klagomål/A 56941-2018 FSC-klagomål.docx", "A 56941-2018")</f>
        <v/>
      </c>
      <c r="W91">
        <f>HYPERLINK("https://klasma.github.io/Logging_1884/klagomålsmail/A 56941-2018 FSC-klagomål mail.docx", "A 56941-2018")</f>
        <v/>
      </c>
      <c r="X91">
        <f>HYPERLINK("https://klasma.github.io/Logging_1884/tillsyn/A 56941-2018 tillsynsbegäran.docx", "A 56941-2018")</f>
        <v/>
      </c>
      <c r="Y91">
        <f>HYPERLINK("https://klasma.github.io/Logging_1884/tillsynsmail/A 56941-2018 tillsynsbegäran mail.docx", "A 56941-2018")</f>
        <v/>
      </c>
    </row>
    <row r="92" ht="15" customHeight="1">
      <c r="A92" t="inlineStr">
        <is>
          <t>A 64845-2018</t>
        </is>
      </c>
      <c r="B92" s="1" t="n">
        <v>43431</v>
      </c>
      <c r="C92" s="1" t="n">
        <v>45222</v>
      </c>
      <c r="D92" t="inlineStr">
        <is>
          <t>ÖREBRO LÄN</t>
        </is>
      </c>
      <c r="E92" t="inlineStr">
        <is>
          <t>ASKERSUND</t>
        </is>
      </c>
      <c r="G92" t="n">
        <v>2.9</v>
      </c>
      <c r="H92" t="n">
        <v>2</v>
      </c>
      <c r="I92" t="n">
        <v>0</v>
      </c>
      <c r="J92" t="n">
        <v>1</v>
      </c>
      <c r="K92" t="n">
        <v>0</v>
      </c>
      <c r="L92" t="n">
        <v>0</v>
      </c>
      <c r="M92" t="n">
        <v>0</v>
      </c>
      <c r="N92" t="n">
        <v>0</v>
      </c>
      <c r="O92" t="n">
        <v>1</v>
      </c>
      <c r="P92" t="n">
        <v>0</v>
      </c>
      <c r="Q92" t="n">
        <v>2</v>
      </c>
      <c r="R92" s="2" t="inlineStr">
        <is>
          <t>Spillkråka
Revlummer</t>
        </is>
      </c>
      <c r="S92">
        <f>HYPERLINK("https://klasma.github.io/Logging_1882/artfynd/A 64845-2018 artfynd.xlsx", "A 64845-2018")</f>
        <v/>
      </c>
      <c r="T92">
        <f>HYPERLINK("https://klasma.github.io/Logging_1882/kartor/A 64845-2018 karta.png", "A 64845-2018")</f>
        <v/>
      </c>
      <c r="V92">
        <f>HYPERLINK("https://klasma.github.io/Logging_1882/klagomål/A 64845-2018 FSC-klagomål.docx", "A 64845-2018")</f>
        <v/>
      </c>
      <c r="W92">
        <f>HYPERLINK("https://klasma.github.io/Logging_1882/klagomålsmail/A 64845-2018 FSC-klagomål mail.docx", "A 64845-2018")</f>
        <v/>
      </c>
      <c r="X92">
        <f>HYPERLINK("https://klasma.github.io/Logging_1882/tillsyn/A 64845-2018 tillsynsbegäran.docx", "A 64845-2018")</f>
        <v/>
      </c>
      <c r="Y92">
        <f>HYPERLINK("https://klasma.github.io/Logging_1882/tillsynsmail/A 64845-2018 tillsynsbegäran mail.docx", "A 64845-2018")</f>
        <v/>
      </c>
    </row>
    <row r="93" ht="15" customHeight="1">
      <c r="A93" t="inlineStr">
        <is>
          <t>A 1256-2019</t>
        </is>
      </c>
      <c r="B93" s="1" t="n">
        <v>43473</v>
      </c>
      <c r="C93" s="1" t="n">
        <v>45222</v>
      </c>
      <c r="D93" t="inlineStr">
        <is>
          <t>ÖREBRO LÄN</t>
        </is>
      </c>
      <c r="E93" t="inlineStr">
        <is>
          <t>LJUSNARSBERG</t>
        </is>
      </c>
      <c r="G93" t="n">
        <v>7.5</v>
      </c>
      <c r="H93" t="n">
        <v>0</v>
      </c>
      <c r="I93" t="n">
        <v>1</v>
      </c>
      <c r="J93" t="n">
        <v>0</v>
      </c>
      <c r="K93" t="n">
        <v>1</v>
      </c>
      <c r="L93" t="n">
        <v>0</v>
      </c>
      <c r="M93" t="n">
        <v>0</v>
      </c>
      <c r="N93" t="n">
        <v>0</v>
      </c>
      <c r="O93" t="n">
        <v>1</v>
      </c>
      <c r="P93" t="n">
        <v>1</v>
      </c>
      <c r="Q93" t="n">
        <v>2</v>
      </c>
      <c r="R93" s="2" t="inlineStr">
        <is>
          <t>Aspfjädermossa
Smal svampklubba</t>
        </is>
      </c>
      <c r="S93">
        <f>HYPERLINK("https://klasma.github.io/Logging_1864/artfynd/A 1256-2019 artfynd.xlsx", "A 1256-2019")</f>
        <v/>
      </c>
      <c r="T93">
        <f>HYPERLINK("https://klasma.github.io/Logging_1864/kartor/A 1256-2019 karta.png", "A 1256-2019")</f>
        <v/>
      </c>
      <c r="V93">
        <f>HYPERLINK("https://klasma.github.io/Logging_1864/klagomål/A 1256-2019 FSC-klagomål.docx", "A 1256-2019")</f>
        <v/>
      </c>
      <c r="W93">
        <f>HYPERLINK("https://klasma.github.io/Logging_1864/klagomålsmail/A 1256-2019 FSC-klagomål mail.docx", "A 1256-2019")</f>
        <v/>
      </c>
      <c r="X93">
        <f>HYPERLINK("https://klasma.github.io/Logging_1864/tillsyn/A 1256-2019 tillsynsbegäran.docx", "A 1256-2019")</f>
        <v/>
      </c>
      <c r="Y93">
        <f>HYPERLINK("https://klasma.github.io/Logging_1864/tillsynsmail/A 1256-2019 tillsynsbegäran mail.docx", "A 1256-2019")</f>
        <v/>
      </c>
    </row>
    <row r="94" ht="15" customHeight="1">
      <c r="A94" t="inlineStr">
        <is>
          <t>A 4002-2019</t>
        </is>
      </c>
      <c r="B94" s="1" t="n">
        <v>43482</v>
      </c>
      <c r="C94" s="1" t="n">
        <v>45222</v>
      </c>
      <c r="D94" t="inlineStr">
        <is>
          <t>ÖREBRO LÄN</t>
        </is>
      </c>
      <c r="E94" t="inlineStr">
        <is>
          <t>LAXÅ</t>
        </is>
      </c>
      <c r="G94" t="n">
        <v>9.5</v>
      </c>
      <c r="H94" t="n">
        <v>2</v>
      </c>
      <c r="I94" t="n">
        <v>0</v>
      </c>
      <c r="J94" t="n">
        <v>0</v>
      </c>
      <c r="K94" t="n">
        <v>0</v>
      </c>
      <c r="L94" t="n">
        <v>0</v>
      </c>
      <c r="M94" t="n">
        <v>0</v>
      </c>
      <c r="N94" t="n">
        <v>0</v>
      </c>
      <c r="O94" t="n">
        <v>0</v>
      </c>
      <c r="P94" t="n">
        <v>0</v>
      </c>
      <c r="Q94" t="n">
        <v>2</v>
      </c>
      <c r="R94" s="2" t="inlineStr">
        <is>
          <t>Fläcknycklar
Nattviol</t>
        </is>
      </c>
      <c r="S94">
        <f>HYPERLINK("https://klasma.github.io/Logging_1860/artfynd/A 4002-2019 artfynd.xlsx", "A 4002-2019")</f>
        <v/>
      </c>
      <c r="T94">
        <f>HYPERLINK("https://klasma.github.io/Logging_1860/kartor/A 4002-2019 karta.png", "A 4002-2019")</f>
        <v/>
      </c>
      <c r="V94">
        <f>HYPERLINK("https://klasma.github.io/Logging_1860/klagomål/A 4002-2019 FSC-klagomål.docx", "A 4002-2019")</f>
        <v/>
      </c>
      <c r="W94">
        <f>HYPERLINK("https://klasma.github.io/Logging_1860/klagomålsmail/A 4002-2019 FSC-klagomål mail.docx", "A 4002-2019")</f>
        <v/>
      </c>
      <c r="X94">
        <f>HYPERLINK("https://klasma.github.io/Logging_1860/tillsyn/A 4002-2019 tillsynsbegäran.docx", "A 4002-2019")</f>
        <v/>
      </c>
      <c r="Y94">
        <f>HYPERLINK("https://klasma.github.io/Logging_1860/tillsynsmail/A 4002-2019 tillsynsbegäran mail.docx", "A 4002-2019")</f>
        <v/>
      </c>
    </row>
    <row r="95" ht="15" customHeight="1">
      <c r="A95" t="inlineStr">
        <is>
          <t>A 7012-2019</t>
        </is>
      </c>
      <c r="B95" s="1" t="n">
        <v>43495</v>
      </c>
      <c r="C95" s="1" t="n">
        <v>45222</v>
      </c>
      <c r="D95" t="inlineStr">
        <is>
          <t>ÖREBRO LÄN</t>
        </is>
      </c>
      <c r="E95" t="inlineStr">
        <is>
          <t>ÖREBRO</t>
        </is>
      </c>
      <c r="G95" t="n">
        <v>5.8</v>
      </c>
      <c r="H95" t="n">
        <v>2</v>
      </c>
      <c r="I95" t="n">
        <v>0</v>
      </c>
      <c r="J95" t="n">
        <v>2</v>
      </c>
      <c r="K95" t="n">
        <v>0</v>
      </c>
      <c r="L95" t="n">
        <v>0</v>
      </c>
      <c r="M95" t="n">
        <v>0</v>
      </c>
      <c r="N95" t="n">
        <v>0</v>
      </c>
      <c r="O95" t="n">
        <v>2</v>
      </c>
      <c r="P95" t="n">
        <v>0</v>
      </c>
      <c r="Q95" t="n">
        <v>2</v>
      </c>
      <c r="R95" s="2" t="inlineStr">
        <is>
          <t>Havsörn
Spillkråka</t>
        </is>
      </c>
      <c r="S95">
        <f>HYPERLINK("https://klasma.github.io/Logging_1880/artfynd/A 7012-2019 artfynd.xlsx", "A 7012-2019")</f>
        <v/>
      </c>
      <c r="T95">
        <f>HYPERLINK("https://klasma.github.io/Logging_1880/kartor/A 7012-2019 karta.png", "A 7012-2019")</f>
        <v/>
      </c>
      <c r="V95">
        <f>HYPERLINK("https://klasma.github.io/Logging_1880/klagomål/A 7012-2019 FSC-klagomål.docx", "A 7012-2019")</f>
        <v/>
      </c>
      <c r="W95">
        <f>HYPERLINK("https://klasma.github.io/Logging_1880/klagomålsmail/A 7012-2019 FSC-klagomål mail.docx", "A 7012-2019")</f>
        <v/>
      </c>
      <c r="X95">
        <f>HYPERLINK("https://klasma.github.io/Logging_1880/tillsyn/A 7012-2019 tillsynsbegäran.docx", "A 7012-2019")</f>
        <v/>
      </c>
      <c r="Y95">
        <f>HYPERLINK("https://klasma.github.io/Logging_1880/tillsynsmail/A 7012-2019 tillsynsbegäran mail.docx", "A 7012-2019")</f>
        <v/>
      </c>
    </row>
    <row r="96" ht="15" customHeight="1">
      <c r="A96" t="inlineStr">
        <is>
          <t>A 11588-2019</t>
        </is>
      </c>
      <c r="B96" s="1" t="n">
        <v>43518</v>
      </c>
      <c r="C96" s="1" t="n">
        <v>45222</v>
      </c>
      <c r="D96" t="inlineStr">
        <is>
          <t>ÖREBRO LÄN</t>
        </is>
      </c>
      <c r="E96" t="inlineStr">
        <is>
          <t>ÖREBRO</t>
        </is>
      </c>
      <c r="G96" t="n">
        <v>7.5</v>
      </c>
      <c r="H96" t="n">
        <v>0</v>
      </c>
      <c r="I96" t="n">
        <v>0</v>
      </c>
      <c r="J96" t="n">
        <v>1</v>
      </c>
      <c r="K96" t="n">
        <v>1</v>
      </c>
      <c r="L96" t="n">
        <v>0</v>
      </c>
      <c r="M96" t="n">
        <v>0</v>
      </c>
      <c r="N96" t="n">
        <v>0</v>
      </c>
      <c r="O96" t="n">
        <v>2</v>
      </c>
      <c r="P96" t="n">
        <v>1</v>
      </c>
      <c r="Q96" t="n">
        <v>2</v>
      </c>
      <c r="R96" s="2" t="inlineStr">
        <is>
          <t>Stubbdaggkåpa
Granspira</t>
        </is>
      </c>
      <c r="S96">
        <f>HYPERLINK("https://klasma.github.io/Logging_1880/artfynd/A 11588-2019 artfynd.xlsx", "A 11588-2019")</f>
        <v/>
      </c>
      <c r="T96">
        <f>HYPERLINK("https://klasma.github.io/Logging_1880/kartor/A 11588-2019 karta.png", "A 11588-2019")</f>
        <v/>
      </c>
      <c r="V96">
        <f>HYPERLINK("https://klasma.github.io/Logging_1880/klagomål/A 11588-2019 FSC-klagomål.docx", "A 11588-2019")</f>
        <v/>
      </c>
      <c r="W96">
        <f>HYPERLINK("https://klasma.github.io/Logging_1880/klagomålsmail/A 11588-2019 FSC-klagomål mail.docx", "A 11588-2019")</f>
        <v/>
      </c>
      <c r="X96">
        <f>HYPERLINK("https://klasma.github.io/Logging_1880/tillsyn/A 11588-2019 tillsynsbegäran.docx", "A 11588-2019")</f>
        <v/>
      </c>
      <c r="Y96">
        <f>HYPERLINK("https://klasma.github.io/Logging_1880/tillsynsmail/A 11588-2019 tillsynsbegäran mail.docx", "A 11588-2019")</f>
        <v/>
      </c>
    </row>
    <row r="97" ht="15" customHeight="1">
      <c r="A97" t="inlineStr">
        <is>
          <t>A 13483-2019</t>
        </is>
      </c>
      <c r="B97" s="1" t="n">
        <v>43530</v>
      </c>
      <c r="C97" s="1" t="n">
        <v>45222</v>
      </c>
      <c r="D97" t="inlineStr">
        <is>
          <t>ÖREBRO LÄN</t>
        </is>
      </c>
      <c r="E97" t="inlineStr">
        <is>
          <t>ASKERSUND</t>
        </is>
      </c>
      <c r="G97" t="n">
        <v>2.4</v>
      </c>
      <c r="H97" t="n">
        <v>1</v>
      </c>
      <c r="I97" t="n">
        <v>1</v>
      </c>
      <c r="J97" t="n">
        <v>0</v>
      </c>
      <c r="K97" t="n">
        <v>0</v>
      </c>
      <c r="L97" t="n">
        <v>0</v>
      </c>
      <c r="M97" t="n">
        <v>0</v>
      </c>
      <c r="N97" t="n">
        <v>0</v>
      </c>
      <c r="O97" t="n">
        <v>0</v>
      </c>
      <c r="P97" t="n">
        <v>0</v>
      </c>
      <c r="Q97" t="n">
        <v>2</v>
      </c>
      <c r="R97" s="2" t="inlineStr">
        <is>
          <t>Vätteros
Blåsippa</t>
        </is>
      </c>
      <c r="S97">
        <f>HYPERLINK("https://klasma.github.io/Logging_1882/artfynd/A 13483-2019 artfynd.xlsx", "A 13483-2019")</f>
        <v/>
      </c>
      <c r="T97">
        <f>HYPERLINK("https://klasma.github.io/Logging_1882/kartor/A 13483-2019 karta.png", "A 13483-2019")</f>
        <v/>
      </c>
      <c r="V97">
        <f>HYPERLINK("https://klasma.github.io/Logging_1882/klagomål/A 13483-2019 FSC-klagomål.docx", "A 13483-2019")</f>
        <v/>
      </c>
      <c r="W97">
        <f>HYPERLINK("https://klasma.github.io/Logging_1882/klagomålsmail/A 13483-2019 FSC-klagomål mail.docx", "A 13483-2019")</f>
        <v/>
      </c>
      <c r="X97">
        <f>HYPERLINK("https://klasma.github.io/Logging_1882/tillsyn/A 13483-2019 tillsynsbegäran.docx", "A 13483-2019")</f>
        <v/>
      </c>
      <c r="Y97">
        <f>HYPERLINK("https://klasma.github.io/Logging_1882/tillsynsmail/A 13483-2019 tillsynsbegäran mail.docx", "A 13483-2019")</f>
        <v/>
      </c>
    </row>
    <row r="98" ht="15" customHeight="1">
      <c r="A98" t="inlineStr">
        <is>
          <t>A 14999-2019</t>
        </is>
      </c>
      <c r="B98" s="1" t="n">
        <v>43538</v>
      </c>
      <c r="C98" s="1" t="n">
        <v>45222</v>
      </c>
      <c r="D98" t="inlineStr">
        <is>
          <t>ÖREBRO LÄN</t>
        </is>
      </c>
      <c r="E98" t="inlineStr">
        <is>
          <t>HALLSBERG</t>
        </is>
      </c>
      <c r="G98" t="n">
        <v>8.6</v>
      </c>
      <c r="H98" t="n">
        <v>2</v>
      </c>
      <c r="I98" t="n">
        <v>1</v>
      </c>
      <c r="J98" t="n">
        <v>0</v>
      </c>
      <c r="K98" t="n">
        <v>0</v>
      </c>
      <c r="L98" t="n">
        <v>0</v>
      </c>
      <c r="M98" t="n">
        <v>0</v>
      </c>
      <c r="N98" t="n">
        <v>0</v>
      </c>
      <c r="O98" t="n">
        <v>0</v>
      </c>
      <c r="P98" t="n">
        <v>0</v>
      </c>
      <c r="Q98" t="n">
        <v>2</v>
      </c>
      <c r="R98" s="2" t="inlineStr">
        <is>
          <t>Plattlummer
Mattlummer</t>
        </is>
      </c>
      <c r="S98">
        <f>HYPERLINK("https://klasma.github.io/Logging_1861/artfynd/A 14999-2019 artfynd.xlsx", "A 14999-2019")</f>
        <v/>
      </c>
      <c r="T98">
        <f>HYPERLINK("https://klasma.github.io/Logging_1861/kartor/A 14999-2019 karta.png", "A 14999-2019")</f>
        <v/>
      </c>
      <c r="V98">
        <f>HYPERLINK("https://klasma.github.io/Logging_1861/klagomål/A 14999-2019 FSC-klagomål.docx", "A 14999-2019")</f>
        <v/>
      </c>
      <c r="W98">
        <f>HYPERLINK("https://klasma.github.io/Logging_1861/klagomålsmail/A 14999-2019 FSC-klagomål mail.docx", "A 14999-2019")</f>
        <v/>
      </c>
      <c r="X98">
        <f>HYPERLINK("https://klasma.github.io/Logging_1861/tillsyn/A 14999-2019 tillsynsbegäran.docx", "A 14999-2019")</f>
        <v/>
      </c>
      <c r="Y98">
        <f>HYPERLINK("https://klasma.github.io/Logging_1861/tillsynsmail/A 14999-2019 tillsynsbegäran mail.docx", "A 14999-2019")</f>
        <v/>
      </c>
    </row>
    <row r="99" ht="15" customHeight="1">
      <c r="A99" t="inlineStr">
        <is>
          <t>A 17635-2019</t>
        </is>
      </c>
      <c r="B99" s="1" t="n">
        <v>43556</v>
      </c>
      <c r="C99" s="1" t="n">
        <v>45222</v>
      </c>
      <c r="D99" t="inlineStr">
        <is>
          <t>ÖREBRO LÄN</t>
        </is>
      </c>
      <c r="E99" t="inlineStr">
        <is>
          <t>ASKERSUND</t>
        </is>
      </c>
      <c r="G99" t="n">
        <v>5.5</v>
      </c>
      <c r="H99" t="n">
        <v>1</v>
      </c>
      <c r="I99" t="n">
        <v>1</v>
      </c>
      <c r="J99" t="n">
        <v>0</v>
      </c>
      <c r="K99" t="n">
        <v>0</v>
      </c>
      <c r="L99" t="n">
        <v>0</v>
      </c>
      <c r="M99" t="n">
        <v>0</v>
      </c>
      <c r="N99" t="n">
        <v>0</v>
      </c>
      <c r="O99" t="n">
        <v>0</v>
      </c>
      <c r="P99" t="n">
        <v>0</v>
      </c>
      <c r="Q99" t="n">
        <v>2</v>
      </c>
      <c r="R99" s="2" t="inlineStr">
        <is>
          <t>Vedticka
Blåsippa</t>
        </is>
      </c>
      <c r="S99">
        <f>HYPERLINK("https://klasma.github.io/Logging_1882/artfynd/A 17635-2019 artfynd.xlsx", "A 17635-2019")</f>
        <v/>
      </c>
      <c r="T99">
        <f>HYPERLINK("https://klasma.github.io/Logging_1882/kartor/A 17635-2019 karta.png", "A 17635-2019")</f>
        <v/>
      </c>
      <c r="V99">
        <f>HYPERLINK("https://klasma.github.io/Logging_1882/klagomål/A 17635-2019 FSC-klagomål.docx", "A 17635-2019")</f>
        <v/>
      </c>
      <c r="W99">
        <f>HYPERLINK("https://klasma.github.io/Logging_1882/klagomålsmail/A 17635-2019 FSC-klagomål mail.docx", "A 17635-2019")</f>
        <v/>
      </c>
      <c r="X99">
        <f>HYPERLINK("https://klasma.github.io/Logging_1882/tillsyn/A 17635-2019 tillsynsbegäran.docx", "A 17635-2019")</f>
        <v/>
      </c>
      <c r="Y99">
        <f>HYPERLINK("https://klasma.github.io/Logging_1882/tillsynsmail/A 17635-2019 tillsynsbegäran mail.docx", "A 17635-2019")</f>
        <v/>
      </c>
    </row>
    <row r="100" ht="15" customHeight="1">
      <c r="A100" t="inlineStr">
        <is>
          <t>A 20603-2019</t>
        </is>
      </c>
      <c r="B100" s="1" t="n">
        <v>43572</v>
      </c>
      <c r="C100" s="1" t="n">
        <v>45222</v>
      </c>
      <c r="D100" t="inlineStr">
        <is>
          <t>ÖREBRO LÄN</t>
        </is>
      </c>
      <c r="E100" t="inlineStr">
        <is>
          <t>ÖREBRO</t>
        </is>
      </c>
      <c r="G100" t="n">
        <v>1.7</v>
      </c>
      <c r="H100" t="n">
        <v>1</v>
      </c>
      <c r="I100" t="n">
        <v>1</v>
      </c>
      <c r="J100" t="n">
        <v>0</v>
      </c>
      <c r="K100" t="n">
        <v>0</v>
      </c>
      <c r="L100" t="n">
        <v>0</v>
      </c>
      <c r="M100" t="n">
        <v>0</v>
      </c>
      <c r="N100" t="n">
        <v>0</v>
      </c>
      <c r="O100" t="n">
        <v>0</v>
      </c>
      <c r="P100" t="n">
        <v>0</v>
      </c>
      <c r="Q100" t="n">
        <v>2</v>
      </c>
      <c r="R100" s="2" t="inlineStr">
        <is>
          <t>Svart trolldruva
Blåsippa</t>
        </is>
      </c>
      <c r="S100">
        <f>HYPERLINK("https://klasma.github.io/Logging_1880/artfynd/A 20603-2019 artfynd.xlsx", "A 20603-2019")</f>
        <v/>
      </c>
      <c r="T100">
        <f>HYPERLINK("https://klasma.github.io/Logging_1880/kartor/A 20603-2019 karta.png", "A 20603-2019")</f>
        <v/>
      </c>
      <c r="V100">
        <f>HYPERLINK("https://klasma.github.io/Logging_1880/klagomål/A 20603-2019 FSC-klagomål.docx", "A 20603-2019")</f>
        <v/>
      </c>
      <c r="W100">
        <f>HYPERLINK("https://klasma.github.io/Logging_1880/klagomålsmail/A 20603-2019 FSC-klagomål mail.docx", "A 20603-2019")</f>
        <v/>
      </c>
      <c r="X100">
        <f>HYPERLINK("https://klasma.github.io/Logging_1880/tillsyn/A 20603-2019 tillsynsbegäran.docx", "A 20603-2019")</f>
        <v/>
      </c>
      <c r="Y100">
        <f>HYPERLINK("https://klasma.github.io/Logging_1880/tillsynsmail/A 20603-2019 tillsynsbegäran mail.docx", "A 20603-2019")</f>
        <v/>
      </c>
    </row>
    <row r="101" ht="15" customHeight="1">
      <c r="A101" t="inlineStr">
        <is>
          <t>A 22931-2019</t>
        </is>
      </c>
      <c r="B101" s="1" t="n">
        <v>43591</v>
      </c>
      <c r="C101" s="1" t="n">
        <v>45222</v>
      </c>
      <c r="D101" t="inlineStr">
        <is>
          <t>ÖREBRO LÄN</t>
        </is>
      </c>
      <c r="E101" t="inlineStr">
        <is>
          <t>NORA</t>
        </is>
      </c>
      <c r="G101" t="n">
        <v>0.9</v>
      </c>
      <c r="H101" t="n">
        <v>1</v>
      </c>
      <c r="I101" t="n">
        <v>0</v>
      </c>
      <c r="J101" t="n">
        <v>2</v>
      </c>
      <c r="K101" t="n">
        <v>0</v>
      </c>
      <c r="L101" t="n">
        <v>0</v>
      </c>
      <c r="M101" t="n">
        <v>0</v>
      </c>
      <c r="N101" t="n">
        <v>0</v>
      </c>
      <c r="O101" t="n">
        <v>2</v>
      </c>
      <c r="P101" t="n">
        <v>0</v>
      </c>
      <c r="Q101" t="n">
        <v>2</v>
      </c>
      <c r="R101" s="2" t="inlineStr">
        <is>
          <t>Skogsklocka
Spillkråka</t>
        </is>
      </c>
      <c r="S101">
        <f>HYPERLINK("https://klasma.github.io/Logging_1884/artfynd/A 22931-2019 artfynd.xlsx", "A 22931-2019")</f>
        <v/>
      </c>
      <c r="T101">
        <f>HYPERLINK("https://klasma.github.io/Logging_1884/kartor/A 22931-2019 karta.png", "A 22931-2019")</f>
        <v/>
      </c>
      <c r="V101">
        <f>HYPERLINK("https://klasma.github.io/Logging_1884/klagomål/A 22931-2019 FSC-klagomål.docx", "A 22931-2019")</f>
        <v/>
      </c>
      <c r="W101">
        <f>HYPERLINK("https://klasma.github.io/Logging_1884/klagomålsmail/A 22931-2019 FSC-klagomål mail.docx", "A 22931-2019")</f>
        <v/>
      </c>
      <c r="X101">
        <f>HYPERLINK("https://klasma.github.io/Logging_1884/tillsyn/A 22931-2019 tillsynsbegäran.docx", "A 22931-2019")</f>
        <v/>
      </c>
      <c r="Y101">
        <f>HYPERLINK("https://klasma.github.io/Logging_1884/tillsynsmail/A 22931-2019 tillsynsbegäran mail.docx", "A 22931-2019")</f>
        <v/>
      </c>
    </row>
    <row r="102" ht="15" customHeight="1">
      <c r="A102" t="inlineStr">
        <is>
          <t>A 26686-2019</t>
        </is>
      </c>
      <c r="B102" s="1" t="n">
        <v>43608</v>
      </c>
      <c r="C102" s="1" t="n">
        <v>45222</v>
      </c>
      <c r="D102" t="inlineStr">
        <is>
          <t>ÖREBRO LÄN</t>
        </is>
      </c>
      <c r="E102" t="inlineStr">
        <is>
          <t>LINDESBERG</t>
        </is>
      </c>
      <c r="F102" t="inlineStr">
        <is>
          <t>Kommuner</t>
        </is>
      </c>
      <c r="G102" t="n">
        <v>1.4</v>
      </c>
      <c r="H102" t="n">
        <v>0</v>
      </c>
      <c r="I102" t="n">
        <v>1</v>
      </c>
      <c r="J102" t="n">
        <v>0</v>
      </c>
      <c r="K102" t="n">
        <v>0</v>
      </c>
      <c r="L102" t="n">
        <v>1</v>
      </c>
      <c r="M102" t="n">
        <v>0</v>
      </c>
      <c r="N102" t="n">
        <v>0</v>
      </c>
      <c r="O102" t="n">
        <v>1</v>
      </c>
      <c r="P102" t="n">
        <v>1</v>
      </c>
      <c r="Q102" t="n">
        <v>2</v>
      </c>
      <c r="R102" s="2" t="inlineStr">
        <is>
          <t>Ask
Svart trolldruva</t>
        </is>
      </c>
      <c r="S102">
        <f>HYPERLINK("https://klasma.github.io/Logging_1885/artfynd/A 26686-2019 artfynd.xlsx", "A 26686-2019")</f>
        <v/>
      </c>
      <c r="T102">
        <f>HYPERLINK("https://klasma.github.io/Logging_1885/kartor/A 26686-2019 karta.png", "A 26686-2019")</f>
        <v/>
      </c>
      <c r="V102">
        <f>HYPERLINK("https://klasma.github.io/Logging_1885/klagomål/A 26686-2019 FSC-klagomål.docx", "A 26686-2019")</f>
        <v/>
      </c>
      <c r="W102">
        <f>HYPERLINK("https://klasma.github.io/Logging_1885/klagomålsmail/A 26686-2019 FSC-klagomål mail.docx", "A 26686-2019")</f>
        <v/>
      </c>
      <c r="X102">
        <f>HYPERLINK("https://klasma.github.io/Logging_1885/tillsyn/A 26686-2019 tillsynsbegäran.docx", "A 26686-2019")</f>
        <v/>
      </c>
      <c r="Y102">
        <f>HYPERLINK("https://klasma.github.io/Logging_1885/tillsynsmail/A 26686-2019 tillsynsbegäran mail.docx", "A 26686-2019")</f>
        <v/>
      </c>
    </row>
    <row r="103" ht="15" customHeight="1">
      <c r="A103" t="inlineStr">
        <is>
          <t>A 39630-2019</t>
        </is>
      </c>
      <c r="B103" s="1" t="n">
        <v>43691</v>
      </c>
      <c r="C103" s="1" t="n">
        <v>45222</v>
      </c>
      <c r="D103" t="inlineStr">
        <is>
          <t>ÖREBRO LÄN</t>
        </is>
      </c>
      <c r="E103" t="inlineStr">
        <is>
          <t>LEKEBERG</t>
        </is>
      </c>
      <c r="F103" t="inlineStr">
        <is>
          <t>Sveaskog</t>
        </is>
      </c>
      <c r="G103" t="n">
        <v>3.1</v>
      </c>
      <c r="H103" t="n">
        <v>1</v>
      </c>
      <c r="I103" t="n">
        <v>1</v>
      </c>
      <c r="J103" t="n">
        <v>0</v>
      </c>
      <c r="K103" t="n">
        <v>1</v>
      </c>
      <c r="L103" t="n">
        <v>0</v>
      </c>
      <c r="M103" t="n">
        <v>0</v>
      </c>
      <c r="N103" t="n">
        <v>0</v>
      </c>
      <c r="O103" t="n">
        <v>1</v>
      </c>
      <c r="P103" t="n">
        <v>1</v>
      </c>
      <c r="Q103" t="n">
        <v>2</v>
      </c>
      <c r="R103" s="2" t="inlineStr">
        <is>
          <t>Slåttergubbe
Grön sköldmossa</t>
        </is>
      </c>
      <c r="S103">
        <f>HYPERLINK("https://klasma.github.io/Logging_1814/artfynd/A 39630-2019 artfynd.xlsx", "A 39630-2019")</f>
        <v/>
      </c>
      <c r="T103">
        <f>HYPERLINK("https://klasma.github.io/Logging_1814/kartor/A 39630-2019 karta.png", "A 39630-2019")</f>
        <v/>
      </c>
      <c r="V103">
        <f>HYPERLINK("https://klasma.github.io/Logging_1814/klagomål/A 39630-2019 FSC-klagomål.docx", "A 39630-2019")</f>
        <v/>
      </c>
      <c r="W103">
        <f>HYPERLINK("https://klasma.github.io/Logging_1814/klagomålsmail/A 39630-2019 FSC-klagomål mail.docx", "A 39630-2019")</f>
        <v/>
      </c>
      <c r="X103">
        <f>HYPERLINK("https://klasma.github.io/Logging_1814/tillsyn/A 39630-2019 tillsynsbegäran.docx", "A 39630-2019")</f>
        <v/>
      </c>
      <c r="Y103">
        <f>HYPERLINK("https://klasma.github.io/Logging_1814/tillsynsmail/A 39630-2019 tillsynsbegäran mail.docx", "A 39630-2019")</f>
        <v/>
      </c>
    </row>
    <row r="104" ht="15" customHeight="1">
      <c r="A104" t="inlineStr">
        <is>
          <t>A 46798-2019</t>
        </is>
      </c>
      <c r="B104" s="1" t="n">
        <v>43719</v>
      </c>
      <c r="C104" s="1" t="n">
        <v>45222</v>
      </c>
      <c r="D104" t="inlineStr">
        <is>
          <t>ÖREBRO LÄN</t>
        </is>
      </c>
      <c r="E104" t="inlineStr">
        <is>
          <t>ÖREBRO</t>
        </is>
      </c>
      <c r="F104" t="inlineStr">
        <is>
          <t>Kommuner</t>
        </is>
      </c>
      <c r="G104" t="n">
        <v>9.4</v>
      </c>
      <c r="H104" t="n">
        <v>0</v>
      </c>
      <c r="I104" t="n">
        <v>0</v>
      </c>
      <c r="J104" t="n">
        <v>1</v>
      </c>
      <c r="K104" t="n">
        <v>1</v>
      </c>
      <c r="L104" t="n">
        <v>0</v>
      </c>
      <c r="M104" t="n">
        <v>0</v>
      </c>
      <c r="N104" t="n">
        <v>0</v>
      </c>
      <c r="O104" t="n">
        <v>2</v>
      </c>
      <c r="P104" t="n">
        <v>1</v>
      </c>
      <c r="Q104" t="n">
        <v>2</v>
      </c>
      <c r="R104" s="2" t="inlineStr">
        <is>
          <t>Rynkskinn
Ullticka</t>
        </is>
      </c>
      <c r="S104">
        <f>HYPERLINK("https://klasma.github.io/Logging_1880/artfynd/A 46798-2019 artfynd.xlsx", "A 46798-2019")</f>
        <v/>
      </c>
      <c r="T104">
        <f>HYPERLINK("https://klasma.github.io/Logging_1880/kartor/A 46798-2019 karta.png", "A 46798-2019")</f>
        <v/>
      </c>
      <c r="V104">
        <f>HYPERLINK("https://klasma.github.io/Logging_1880/klagomål/A 46798-2019 FSC-klagomål.docx", "A 46798-2019")</f>
        <v/>
      </c>
      <c r="W104">
        <f>HYPERLINK("https://klasma.github.io/Logging_1880/klagomålsmail/A 46798-2019 FSC-klagomål mail.docx", "A 46798-2019")</f>
        <v/>
      </c>
      <c r="X104">
        <f>HYPERLINK("https://klasma.github.io/Logging_1880/tillsyn/A 46798-2019 tillsynsbegäran.docx", "A 46798-2019")</f>
        <v/>
      </c>
      <c r="Y104">
        <f>HYPERLINK("https://klasma.github.io/Logging_1880/tillsynsmail/A 46798-2019 tillsynsbegäran mail.docx", "A 46798-2019")</f>
        <v/>
      </c>
    </row>
    <row r="105" ht="15" customHeight="1">
      <c r="A105" t="inlineStr">
        <is>
          <t>A 48004-2019</t>
        </is>
      </c>
      <c r="B105" s="1" t="n">
        <v>43725</v>
      </c>
      <c r="C105" s="1" t="n">
        <v>45222</v>
      </c>
      <c r="D105" t="inlineStr">
        <is>
          <t>ÖREBRO LÄN</t>
        </is>
      </c>
      <c r="E105" t="inlineStr">
        <is>
          <t>LJUSNARSBERG</t>
        </is>
      </c>
      <c r="G105" t="n">
        <v>25.2</v>
      </c>
      <c r="H105" t="n">
        <v>0</v>
      </c>
      <c r="I105" t="n">
        <v>1</v>
      </c>
      <c r="J105" t="n">
        <v>1</v>
      </c>
      <c r="K105" t="n">
        <v>0</v>
      </c>
      <c r="L105" t="n">
        <v>0</v>
      </c>
      <c r="M105" t="n">
        <v>0</v>
      </c>
      <c r="N105" t="n">
        <v>0</v>
      </c>
      <c r="O105" t="n">
        <v>1</v>
      </c>
      <c r="P105" t="n">
        <v>0</v>
      </c>
      <c r="Q105" t="n">
        <v>2</v>
      </c>
      <c r="R105" s="2" t="inlineStr">
        <is>
          <t>Vedskivlav
Flagellkvastmossa</t>
        </is>
      </c>
      <c r="S105">
        <f>HYPERLINK("https://klasma.github.io/Logging_1864/artfynd/A 48004-2019 artfynd.xlsx", "A 48004-2019")</f>
        <v/>
      </c>
      <c r="T105">
        <f>HYPERLINK("https://klasma.github.io/Logging_1864/kartor/A 48004-2019 karta.png", "A 48004-2019")</f>
        <v/>
      </c>
      <c r="V105">
        <f>HYPERLINK("https://klasma.github.io/Logging_1864/klagomål/A 48004-2019 FSC-klagomål.docx", "A 48004-2019")</f>
        <v/>
      </c>
      <c r="W105">
        <f>HYPERLINK("https://klasma.github.io/Logging_1864/klagomålsmail/A 48004-2019 FSC-klagomål mail.docx", "A 48004-2019")</f>
        <v/>
      </c>
      <c r="X105">
        <f>HYPERLINK("https://klasma.github.io/Logging_1864/tillsyn/A 48004-2019 tillsynsbegäran.docx", "A 48004-2019")</f>
        <v/>
      </c>
      <c r="Y105">
        <f>HYPERLINK("https://klasma.github.io/Logging_1864/tillsynsmail/A 48004-2019 tillsynsbegäran mail.docx", "A 48004-2019")</f>
        <v/>
      </c>
    </row>
    <row r="106" ht="15" customHeight="1">
      <c r="A106" t="inlineStr">
        <is>
          <t>A 49416-2019</t>
        </is>
      </c>
      <c r="B106" s="1" t="n">
        <v>43732</v>
      </c>
      <c r="C106" s="1" t="n">
        <v>45222</v>
      </c>
      <c r="D106" t="inlineStr">
        <is>
          <t>ÖREBRO LÄN</t>
        </is>
      </c>
      <c r="E106" t="inlineStr">
        <is>
          <t>LINDESBERG</t>
        </is>
      </c>
      <c r="F106" t="inlineStr">
        <is>
          <t>Sveaskog</t>
        </is>
      </c>
      <c r="G106" t="n">
        <v>4.8</v>
      </c>
      <c r="H106" t="n">
        <v>1</v>
      </c>
      <c r="I106" t="n">
        <v>0</v>
      </c>
      <c r="J106" t="n">
        <v>0</v>
      </c>
      <c r="K106" t="n">
        <v>0</v>
      </c>
      <c r="L106" t="n">
        <v>2</v>
      </c>
      <c r="M106" t="n">
        <v>0</v>
      </c>
      <c r="N106" t="n">
        <v>0</v>
      </c>
      <c r="O106" t="n">
        <v>2</v>
      </c>
      <c r="P106" t="n">
        <v>2</v>
      </c>
      <c r="Q106" t="n">
        <v>2</v>
      </c>
      <c r="R106" s="2" t="inlineStr">
        <is>
          <t>Ask
Asknätfjäril</t>
        </is>
      </c>
      <c r="S106">
        <f>HYPERLINK("https://klasma.github.io/Logging_1885/artfynd/A 49416-2019 artfynd.xlsx", "A 49416-2019")</f>
        <v/>
      </c>
      <c r="T106">
        <f>HYPERLINK("https://klasma.github.io/Logging_1885/kartor/A 49416-2019 karta.png", "A 49416-2019")</f>
        <v/>
      </c>
      <c r="V106">
        <f>HYPERLINK("https://klasma.github.io/Logging_1885/klagomål/A 49416-2019 FSC-klagomål.docx", "A 49416-2019")</f>
        <v/>
      </c>
      <c r="W106">
        <f>HYPERLINK("https://klasma.github.io/Logging_1885/klagomålsmail/A 49416-2019 FSC-klagomål mail.docx", "A 49416-2019")</f>
        <v/>
      </c>
      <c r="X106">
        <f>HYPERLINK("https://klasma.github.io/Logging_1885/tillsyn/A 49416-2019 tillsynsbegäran.docx", "A 49416-2019")</f>
        <v/>
      </c>
      <c r="Y106">
        <f>HYPERLINK("https://klasma.github.io/Logging_1885/tillsynsmail/A 49416-2019 tillsynsbegäran mail.docx", "A 49416-2019")</f>
        <v/>
      </c>
    </row>
    <row r="107" ht="15" customHeight="1">
      <c r="A107" t="inlineStr">
        <is>
          <t>A 49419-2019</t>
        </is>
      </c>
      <c r="B107" s="1" t="n">
        <v>43732</v>
      </c>
      <c r="C107" s="1" t="n">
        <v>45222</v>
      </c>
      <c r="D107" t="inlineStr">
        <is>
          <t>ÖREBRO LÄN</t>
        </is>
      </c>
      <c r="E107" t="inlineStr">
        <is>
          <t>LINDESBERG</t>
        </is>
      </c>
      <c r="F107" t="inlineStr">
        <is>
          <t>Sveaskog</t>
        </is>
      </c>
      <c r="G107" t="n">
        <v>7.5</v>
      </c>
      <c r="H107" t="n">
        <v>1</v>
      </c>
      <c r="I107" t="n">
        <v>0</v>
      </c>
      <c r="J107" t="n">
        <v>1</v>
      </c>
      <c r="K107" t="n">
        <v>0</v>
      </c>
      <c r="L107" t="n">
        <v>1</v>
      </c>
      <c r="M107" t="n">
        <v>0</v>
      </c>
      <c r="N107" t="n">
        <v>0</v>
      </c>
      <c r="O107" t="n">
        <v>2</v>
      </c>
      <c r="P107" t="n">
        <v>1</v>
      </c>
      <c r="Q107" t="n">
        <v>2</v>
      </c>
      <c r="R107" s="2" t="inlineStr">
        <is>
          <t>Asknätfjäril
Sotnätfjäril</t>
        </is>
      </c>
      <c r="S107">
        <f>HYPERLINK("https://klasma.github.io/Logging_1885/artfynd/A 49419-2019 artfynd.xlsx", "A 49419-2019")</f>
        <v/>
      </c>
      <c r="T107">
        <f>HYPERLINK("https://klasma.github.io/Logging_1885/kartor/A 49419-2019 karta.png", "A 49419-2019")</f>
        <v/>
      </c>
      <c r="V107">
        <f>HYPERLINK("https://klasma.github.io/Logging_1885/klagomål/A 49419-2019 FSC-klagomål.docx", "A 49419-2019")</f>
        <v/>
      </c>
      <c r="W107">
        <f>HYPERLINK("https://klasma.github.io/Logging_1885/klagomålsmail/A 49419-2019 FSC-klagomål mail.docx", "A 49419-2019")</f>
        <v/>
      </c>
      <c r="X107">
        <f>HYPERLINK("https://klasma.github.io/Logging_1885/tillsyn/A 49419-2019 tillsynsbegäran.docx", "A 49419-2019")</f>
        <v/>
      </c>
      <c r="Y107">
        <f>HYPERLINK("https://klasma.github.io/Logging_1885/tillsynsmail/A 49419-2019 tillsynsbegäran mail.docx", "A 49419-2019")</f>
        <v/>
      </c>
    </row>
    <row r="108" ht="15" customHeight="1">
      <c r="A108" t="inlineStr">
        <is>
          <t>A 58590-2019</t>
        </is>
      </c>
      <c r="B108" s="1" t="n">
        <v>43773</v>
      </c>
      <c r="C108" s="1" t="n">
        <v>45222</v>
      </c>
      <c r="D108" t="inlineStr">
        <is>
          <t>ÖREBRO LÄN</t>
        </is>
      </c>
      <c r="E108" t="inlineStr">
        <is>
          <t>ASKERSUND</t>
        </is>
      </c>
      <c r="F108" t="inlineStr">
        <is>
          <t>Sveaskog</t>
        </is>
      </c>
      <c r="G108" t="n">
        <v>1.7</v>
      </c>
      <c r="H108" t="n">
        <v>1</v>
      </c>
      <c r="I108" t="n">
        <v>1</v>
      </c>
      <c r="J108" t="n">
        <v>0</v>
      </c>
      <c r="K108" t="n">
        <v>0</v>
      </c>
      <c r="L108" t="n">
        <v>0</v>
      </c>
      <c r="M108" t="n">
        <v>0</v>
      </c>
      <c r="N108" t="n">
        <v>0</v>
      </c>
      <c r="O108" t="n">
        <v>0</v>
      </c>
      <c r="P108" t="n">
        <v>0</v>
      </c>
      <c r="Q108" t="n">
        <v>2</v>
      </c>
      <c r="R108" s="2" t="inlineStr">
        <is>
          <t>Grönpyrola
Revlummer</t>
        </is>
      </c>
      <c r="S108">
        <f>HYPERLINK("https://klasma.github.io/Logging_1882/artfynd/A 58590-2019 artfynd.xlsx", "A 58590-2019")</f>
        <v/>
      </c>
      <c r="T108">
        <f>HYPERLINK("https://klasma.github.io/Logging_1882/kartor/A 58590-2019 karta.png", "A 58590-2019")</f>
        <v/>
      </c>
      <c r="V108">
        <f>HYPERLINK("https://klasma.github.io/Logging_1882/klagomål/A 58590-2019 FSC-klagomål.docx", "A 58590-2019")</f>
        <v/>
      </c>
      <c r="W108">
        <f>HYPERLINK("https://klasma.github.io/Logging_1882/klagomålsmail/A 58590-2019 FSC-klagomål mail.docx", "A 58590-2019")</f>
        <v/>
      </c>
      <c r="X108">
        <f>HYPERLINK("https://klasma.github.io/Logging_1882/tillsyn/A 58590-2019 tillsynsbegäran.docx", "A 58590-2019")</f>
        <v/>
      </c>
      <c r="Y108">
        <f>HYPERLINK("https://klasma.github.io/Logging_1882/tillsynsmail/A 58590-2019 tillsynsbegäran mail.docx", "A 58590-2019")</f>
        <v/>
      </c>
    </row>
    <row r="109" ht="15" customHeight="1">
      <c r="A109" t="inlineStr">
        <is>
          <t>A 58588-2019</t>
        </is>
      </c>
      <c r="B109" s="1" t="n">
        <v>43773</v>
      </c>
      <c r="C109" s="1" t="n">
        <v>45222</v>
      </c>
      <c r="D109" t="inlineStr">
        <is>
          <t>ÖREBRO LÄN</t>
        </is>
      </c>
      <c r="E109" t="inlineStr">
        <is>
          <t>ASKERSUND</t>
        </is>
      </c>
      <c r="F109" t="inlineStr">
        <is>
          <t>Sveaskog</t>
        </is>
      </c>
      <c r="G109" t="n">
        <v>1.7</v>
      </c>
      <c r="H109" t="n">
        <v>1</v>
      </c>
      <c r="I109" t="n">
        <v>1</v>
      </c>
      <c r="J109" t="n">
        <v>0</v>
      </c>
      <c r="K109" t="n">
        <v>0</v>
      </c>
      <c r="L109" t="n">
        <v>0</v>
      </c>
      <c r="M109" t="n">
        <v>0</v>
      </c>
      <c r="N109" t="n">
        <v>0</v>
      </c>
      <c r="O109" t="n">
        <v>0</v>
      </c>
      <c r="P109" t="n">
        <v>0</v>
      </c>
      <c r="Q109" t="n">
        <v>2</v>
      </c>
      <c r="R109" s="2" t="inlineStr">
        <is>
          <t>Grönpyrola
Revlummer</t>
        </is>
      </c>
      <c r="S109">
        <f>HYPERLINK("https://klasma.github.io/Logging_1882/artfynd/A 58588-2019 artfynd.xlsx", "A 58588-2019")</f>
        <v/>
      </c>
      <c r="T109">
        <f>HYPERLINK("https://klasma.github.io/Logging_1882/kartor/A 58588-2019 karta.png", "A 58588-2019")</f>
        <v/>
      </c>
      <c r="V109">
        <f>HYPERLINK("https://klasma.github.io/Logging_1882/klagomål/A 58588-2019 FSC-klagomål.docx", "A 58588-2019")</f>
        <v/>
      </c>
      <c r="W109">
        <f>HYPERLINK("https://klasma.github.io/Logging_1882/klagomålsmail/A 58588-2019 FSC-klagomål mail.docx", "A 58588-2019")</f>
        <v/>
      </c>
      <c r="X109">
        <f>HYPERLINK("https://klasma.github.io/Logging_1882/tillsyn/A 58588-2019 tillsynsbegäran.docx", "A 58588-2019")</f>
        <v/>
      </c>
      <c r="Y109">
        <f>HYPERLINK("https://klasma.github.io/Logging_1882/tillsynsmail/A 58588-2019 tillsynsbegäran mail.docx", "A 58588-2019")</f>
        <v/>
      </c>
    </row>
    <row r="110" ht="15" customHeight="1">
      <c r="A110" t="inlineStr">
        <is>
          <t>A 8922-2020</t>
        </is>
      </c>
      <c r="B110" s="1" t="n">
        <v>43878</v>
      </c>
      <c r="C110" s="1" t="n">
        <v>45222</v>
      </c>
      <c r="D110" t="inlineStr">
        <is>
          <t>ÖREBRO LÄN</t>
        </is>
      </c>
      <c r="E110" t="inlineStr">
        <is>
          <t>LINDESBERG</t>
        </is>
      </c>
      <c r="F110" t="inlineStr">
        <is>
          <t>Kyrkan</t>
        </is>
      </c>
      <c r="G110" t="n">
        <v>6.8</v>
      </c>
      <c r="H110" t="n">
        <v>1</v>
      </c>
      <c r="I110" t="n">
        <v>0</v>
      </c>
      <c r="J110" t="n">
        <v>0</v>
      </c>
      <c r="K110" t="n">
        <v>0</v>
      </c>
      <c r="L110" t="n">
        <v>2</v>
      </c>
      <c r="M110" t="n">
        <v>0</v>
      </c>
      <c r="N110" t="n">
        <v>0</v>
      </c>
      <c r="O110" t="n">
        <v>2</v>
      </c>
      <c r="P110" t="n">
        <v>2</v>
      </c>
      <c r="Q110" t="n">
        <v>2</v>
      </c>
      <c r="R110" s="2" t="inlineStr">
        <is>
          <t>Ask
Asknätfjäril</t>
        </is>
      </c>
      <c r="S110">
        <f>HYPERLINK("https://klasma.github.io/Logging_1885/artfynd/A 8922-2020 artfynd.xlsx", "A 8922-2020")</f>
        <v/>
      </c>
      <c r="T110">
        <f>HYPERLINK("https://klasma.github.io/Logging_1885/kartor/A 8922-2020 karta.png", "A 8922-2020")</f>
        <v/>
      </c>
      <c r="V110">
        <f>HYPERLINK("https://klasma.github.io/Logging_1885/klagomål/A 8922-2020 FSC-klagomål.docx", "A 8922-2020")</f>
        <v/>
      </c>
      <c r="W110">
        <f>HYPERLINK("https://klasma.github.io/Logging_1885/klagomålsmail/A 8922-2020 FSC-klagomål mail.docx", "A 8922-2020")</f>
        <v/>
      </c>
      <c r="X110">
        <f>HYPERLINK("https://klasma.github.io/Logging_1885/tillsyn/A 8922-2020 tillsynsbegäran.docx", "A 8922-2020")</f>
        <v/>
      </c>
      <c r="Y110">
        <f>HYPERLINK("https://klasma.github.io/Logging_1885/tillsynsmail/A 8922-2020 tillsynsbegäran mail.docx", "A 8922-2020")</f>
        <v/>
      </c>
    </row>
    <row r="111" ht="15" customHeight="1">
      <c r="A111" t="inlineStr">
        <is>
          <t>A 13462-2020</t>
        </is>
      </c>
      <c r="B111" s="1" t="n">
        <v>43902</v>
      </c>
      <c r="C111" s="1" t="n">
        <v>45222</v>
      </c>
      <c r="D111" t="inlineStr">
        <is>
          <t>ÖREBRO LÄN</t>
        </is>
      </c>
      <c r="E111" t="inlineStr">
        <is>
          <t>ASKERSUND</t>
        </is>
      </c>
      <c r="G111" t="n">
        <v>4</v>
      </c>
      <c r="H111" t="n">
        <v>1</v>
      </c>
      <c r="I111" t="n">
        <v>0</v>
      </c>
      <c r="J111" t="n">
        <v>1</v>
      </c>
      <c r="K111" t="n">
        <v>0</v>
      </c>
      <c r="L111" t="n">
        <v>0</v>
      </c>
      <c r="M111" t="n">
        <v>0</v>
      </c>
      <c r="N111" t="n">
        <v>0</v>
      </c>
      <c r="O111" t="n">
        <v>1</v>
      </c>
      <c r="P111" t="n">
        <v>0</v>
      </c>
      <c r="Q111" t="n">
        <v>2</v>
      </c>
      <c r="R111" s="2" t="inlineStr">
        <is>
          <t>Motaggsvamp
Revlummer</t>
        </is>
      </c>
      <c r="S111">
        <f>HYPERLINK("https://klasma.github.io/Logging_1882/artfynd/A 13462-2020 artfynd.xlsx", "A 13462-2020")</f>
        <v/>
      </c>
      <c r="T111">
        <f>HYPERLINK("https://klasma.github.io/Logging_1882/kartor/A 13462-2020 karta.png", "A 13462-2020")</f>
        <v/>
      </c>
      <c r="V111">
        <f>HYPERLINK("https://klasma.github.io/Logging_1882/klagomål/A 13462-2020 FSC-klagomål.docx", "A 13462-2020")</f>
        <v/>
      </c>
      <c r="W111">
        <f>HYPERLINK("https://klasma.github.io/Logging_1882/klagomålsmail/A 13462-2020 FSC-klagomål mail.docx", "A 13462-2020")</f>
        <v/>
      </c>
      <c r="X111">
        <f>HYPERLINK("https://klasma.github.io/Logging_1882/tillsyn/A 13462-2020 tillsynsbegäran.docx", "A 13462-2020")</f>
        <v/>
      </c>
      <c r="Y111">
        <f>HYPERLINK("https://klasma.github.io/Logging_1882/tillsynsmail/A 13462-2020 tillsynsbegäran mail.docx", "A 13462-2020")</f>
        <v/>
      </c>
    </row>
    <row r="112" ht="15" customHeight="1">
      <c r="A112" t="inlineStr">
        <is>
          <t>A 14369-2020</t>
        </is>
      </c>
      <c r="B112" s="1" t="n">
        <v>43908</v>
      </c>
      <c r="C112" s="1" t="n">
        <v>45222</v>
      </c>
      <c r="D112" t="inlineStr">
        <is>
          <t>ÖREBRO LÄN</t>
        </is>
      </c>
      <c r="E112" t="inlineStr">
        <is>
          <t>ASKERSUND</t>
        </is>
      </c>
      <c r="F112" t="inlineStr">
        <is>
          <t>Sveaskog</t>
        </is>
      </c>
      <c r="G112" t="n">
        <v>2</v>
      </c>
      <c r="H112" t="n">
        <v>1</v>
      </c>
      <c r="I112" t="n">
        <v>1</v>
      </c>
      <c r="J112" t="n">
        <v>0</v>
      </c>
      <c r="K112" t="n">
        <v>0</v>
      </c>
      <c r="L112" t="n">
        <v>0</v>
      </c>
      <c r="M112" t="n">
        <v>0</v>
      </c>
      <c r="N112" t="n">
        <v>0</v>
      </c>
      <c r="O112" t="n">
        <v>0</v>
      </c>
      <c r="P112" t="n">
        <v>0</v>
      </c>
      <c r="Q112" t="n">
        <v>2</v>
      </c>
      <c r="R112" s="2" t="inlineStr">
        <is>
          <t>Vätteros
Blåsippa</t>
        </is>
      </c>
      <c r="S112">
        <f>HYPERLINK("https://klasma.github.io/Logging_1882/artfynd/A 14369-2020 artfynd.xlsx", "A 14369-2020")</f>
        <v/>
      </c>
      <c r="T112">
        <f>HYPERLINK("https://klasma.github.io/Logging_1882/kartor/A 14369-2020 karta.png", "A 14369-2020")</f>
        <v/>
      </c>
      <c r="V112">
        <f>HYPERLINK("https://klasma.github.io/Logging_1882/klagomål/A 14369-2020 FSC-klagomål.docx", "A 14369-2020")</f>
        <v/>
      </c>
      <c r="W112">
        <f>HYPERLINK("https://klasma.github.io/Logging_1882/klagomålsmail/A 14369-2020 FSC-klagomål mail.docx", "A 14369-2020")</f>
        <v/>
      </c>
      <c r="X112">
        <f>HYPERLINK("https://klasma.github.io/Logging_1882/tillsyn/A 14369-2020 tillsynsbegäran.docx", "A 14369-2020")</f>
        <v/>
      </c>
      <c r="Y112">
        <f>HYPERLINK("https://klasma.github.io/Logging_1882/tillsynsmail/A 14369-2020 tillsynsbegäran mail.docx", "A 14369-2020")</f>
        <v/>
      </c>
    </row>
    <row r="113" ht="15" customHeight="1">
      <c r="A113" t="inlineStr">
        <is>
          <t>A 23092-2020</t>
        </is>
      </c>
      <c r="B113" s="1" t="n">
        <v>43964</v>
      </c>
      <c r="C113" s="1" t="n">
        <v>45222</v>
      </c>
      <c r="D113" t="inlineStr">
        <is>
          <t>ÖREBRO LÄN</t>
        </is>
      </c>
      <c r="E113" t="inlineStr">
        <is>
          <t>LJUSNARSBERG</t>
        </is>
      </c>
      <c r="G113" t="n">
        <v>4.4</v>
      </c>
      <c r="H113" t="n">
        <v>0</v>
      </c>
      <c r="I113" t="n">
        <v>1</v>
      </c>
      <c r="J113" t="n">
        <v>1</v>
      </c>
      <c r="K113" t="n">
        <v>0</v>
      </c>
      <c r="L113" t="n">
        <v>0</v>
      </c>
      <c r="M113" t="n">
        <v>0</v>
      </c>
      <c r="N113" t="n">
        <v>0</v>
      </c>
      <c r="O113" t="n">
        <v>1</v>
      </c>
      <c r="P113" t="n">
        <v>0</v>
      </c>
      <c r="Q113" t="n">
        <v>2</v>
      </c>
      <c r="R113" s="2" t="inlineStr">
        <is>
          <t>Tallticka
Rävticka</t>
        </is>
      </c>
      <c r="S113">
        <f>HYPERLINK("https://klasma.github.io/Logging_1864/artfynd/A 23092-2020 artfynd.xlsx", "A 23092-2020")</f>
        <v/>
      </c>
      <c r="T113">
        <f>HYPERLINK("https://klasma.github.io/Logging_1864/kartor/A 23092-2020 karta.png", "A 23092-2020")</f>
        <v/>
      </c>
      <c r="U113">
        <f>HYPERLINK("https://klasma.github.io/Logging_1864/knärot/A 23092-2020 karta knärot.png", "A 23092-2020")</f>
        <v/>
      </c>
      <c r="V113">
        <f>HYPERLINK("https://klasma.github.io/Logging_1864/klagomål/A 23092-2020 FSC-klagomål.docx", "A 23092-2020")</f>
        <v/>
      </c>
      <c r="W113">
        <f>HYPERLINK("https://klasma.github.io/Logging_1864/klagomålsmail/A 23092-2020 FSC-klagomål mail.docx", "A 23092-2020")</f>
        <v/>
      </c>
      <c r="X113">
        <f>HYPERLINK("https://klasma.github.io/Logging_1864/tillsyn/A 23092-2020 tillsynsbegäran.docx", "A 23092-2020")</f>
        <v/>
      </c>
      <c r="Y113">
        <f>HYPERLINK("https://klasma.github.io/Logging_1864/tillsynsmail/A 23092-2020 tillsynsbegäran mail.docx", "A 23092-2020")</f>
        <v/>
      </c>
    </row>
    <row r="114" ht="15" customHeight="1">
      <c r="A114" t="inlineStr">
        <is>
          <t>A 31052-2020</t>
        </is>
      </c>
      <c r="B114" s="1" t="n">
        <v>44008</v>
      </c>
      <c r="C114" s="1" t="n">
        <v>45222</v>
      </c>
      <c r="D114" t="inlineStr">
        <is>
          <t>ÖREBRO LÄN</t>
        </is>
      </c>
      <c r="E114" t="inlineStr">
        <is>
          <t>KUMLA</t>
        </is>
      </c>
      <c r="F114" t="inlineStr">
        <is>
          <t>Kommuner</t>
        </is>
      </c>
      <c r="G114" t="n">
        <v>5.5</v>
      </c>
      <c r="H114" t="n">
        <v>0</v>
      </c>
      <c r="I114" t="n">
        <v>0</v>
      </c>
      <c r="J114" t="n">
        <v>1</v>
      </c>
      <c r="K114" t="n">
        <v>0</v>
      </c>
      <c r="L114" t="n">
        <v>1</v>
      </c>
      <c r="M114" t="n">
        <v>0</v>
      </c>
      <c r="N114" t="n">
        <v>0</v>
      </c>
      <c r="O114" t="n">
        <v>2</v>
      </c>
      <c r="P114" t="n">
        <v>1</v>
      </c>
      <c r="Q114" t="n">
        <v>2</v>
      </c>
      <c r="R114" s="2" t="inlineStr">
        <is>
          <t>Ask
Dånvivel</t>
        </is>
      </c>
      <c r="S114">
        <f>HYPERLINK("https://klasma.github.io/Logging_1881/artfynd/A 31052-2020 artfynd.xlsx", "A 31052-2020")</f>
        <v/>
      </c>
      <c r="T114">
        <f>HYPERLINK("https://klasma.github.io/Logging_1881/kartor/A 31052-2020 karta.png", "A 31052-2020")</f>
        <v/>
      </c>
      <c r="V114">
        <f>HYPERLINK("https://klasma.github.io/Logging_1881/klagomål/A 31052-2020 FSC-klagomål.docx", "A 31052-2020")</f>
        <v/>
      </c>
      <c r="W114">
        <f>HYPERLINK("https://klasma.github.io/Logging_1881/klagomålsmail/A 31052-2020 FSC-klagomål mail.docx", "A 31052-2020")</f>
        <v/>
      </c>
      <c r="X114">
        <f>HYPERLINK("https://klasma.github.io/Logging_1881/tillsyn/A 31052-2020 tillsynsbegäran.docx", "A 31052-2020")</f>
        <v/>
      </c>
      <c r="Y114">
        <f>HYPERLINK("https://klasma.github.io/Logging_1881/tillsynsmail/A 31052-2020 tillsynsbegäran mail.docx", "A 31052-2020")</f>
        <v/>
      </c>
    </row>
    <row r="115" ht="15" customHeight="1">
      <c r="A115" t="inlineStr">
        <is>
          <t>A 46018-2020</t>
        </is>
      </c>
      <c r="B115" s="1" t="n">
        <v>44088</v>
      </c>
      <c r="C115" s="1" t="n">
        <v>45222</v>
      </c>
      <c r="D115" t="inlineStr">
        <is>
          <t>ÖREBRO LÄN</t>
        </is>
      </c>
      <c r="E115" t="inlineStr">
        <is>
          <t>ASKERSUND</t>
        </is>
      </c>
      <c r="F115" t="inlineStr">
        <is>
          <t>Övriga Aktiebolag</t>
        </is>
      </c>
      <c r="G115" t="n">
        <v>8.300000000000001</v>
      </c>
      <c r="H115" t="n">
        <v>1</v>
      </c>
      <c r="I115" t="n">
        <v>1</v>
      </c>
      <c r="J115" t="n">
        <v>0</v>
      </c>
      <c r="K115" t="n">
        <v>0</v>
      </c>
      <c r="L115" t="n">
        <v>0</v>
      </c>
      <c r="M115" t="n">
        <v>0</v>
      </c>
      <c r="N115" t="n">
        <v>0</v>
      </c>
      <c r="O115" t="n">
        <v>0</v>
      </c>
      <c r="P115" t="n">
        <v>0</v>
      </c>
      <c r="Q115" t="n">
        <v>2</v>
      </c>
      <c r="R115" s="2" t="inlineStr">
        <is>
          <t>Svart trolldruva
Blåsippa</t>
        </is>
      </c>
      <c r="S115">
        <f>HYPERLINK("https://klasma.github.io/Logging_1882/artfynd/A 46018-2020 artfynd.xlsx", "A 46018-2020")</f>
        <v/>
      </c>
      <c r="T115">
        <f>HYPERLINK("https://klasma.github.io/Logging_1882/kartor/A 46018-2020 karta.png", "A 46018-2020")</f>
        <v/>
      </c>
      <c r="V115">
        <f>HYPERLINK("https://klasma.github.io/Logging_1882/klagomål/A 46018-2020 FSC-klagomål.docx", "A 46018-2020")</f>
        <v/>
      </c>
      <c r="W115">
        <f>HYPERLINK("https://klasma.github.io/Logging_1882/klagomålsmail/A 46018-2020 FSC-klagomål mail.docx", "A 46018-2020")</f>
        <v/>
      </c>
      <c r="X115">
        <f>HYPERLINK("https://klasma.github.io/Logging_1882/tillsyn/A 46018-2020 tillsynsbegäran.docx", "A 46018-2020")</f>
        <v/>
      </c>
      <c r="Y115">
        <f>HYPERLINK("https://klasma.github.io/Logging_1882/tillsynsmail/A 46018-2020 tillsynsbegäran mail.docx", "A 46018-2020")</f>
        <v/>
      </c>
    </row>
    <row r="116" ht="15" customHeight="1">
      <c r="A116" t="inlineStr">
        <is>
          <t>A 46100-2020</t>
        </is>
      </c>
      <c r="B116" s="1" t="n">
        <v>44088</v>
      </c>
      <c r="C116" s="1" t="n">
        <v>45222</v>
      </c>
      <c r="D116" t="inlineStr">
        <is>
          <t>ÖREBRO LÄN</t>
        </is>
      </c>
      <c r="E116" t="inlineStr">
        <is>
          <t>ASKERSUND</t>
        </is>
      </c>
      <c r="F116" t="inlineStr">
        <is>
          <t>Övriga Aktiebolag</t>
        </is>
      </c>
      <c r="G116" t="n">
        <v>2.2</v>
      </c>
      <c r="H116" t="n">
        <v>1</v>
      </c>
      <c r="I116" t="n">
        <v>1</v>
      </c>
      <c r="J116" t="n">
        <v>0</v>
      </c>
      <c r="K116" t="n">
        <v>0</v>
      </c>
      <c r="L116" t="n">
        <v>0</v>
      </c>
      <c r="M116" t="n">
        <v>0</v>
      </c>
      <c r="N116" t="n">
        <v>0</v>
      </c>
      <c r="O116" t="n">
        <v>0</v>
      </c>
      <c r="P116" t="n">
        <v>0</v>
      </c>
      <c r="Q116" t="n">
        <v>2</v>
      </c>
      <c r="R116" s="2" t="inlineStr">
        <is>
          <t>Tibast
Blåsippa</t>
        </is>
      </c>
      <c r="S116">
        <f>HYPERLINK("https://klasma.github.io/Logging_1882/artfynd/A 46100-2020 artfynd.xlsx", "A 46100-2020")</f>
        <v/>
      </c>
      <c r="T116">
        <f>HYPERLINK("https://klasma.github.io/Logging_1882/kartor/A 46100-2020 karta.png", "A 46100-2020")</f>
        <v/>
      </c>
      <c r="V116">
        <f>HYPERLINK("https://klasma.github.io/Logging_1882/klagomål/A 46100-2020 FSC-klagomål.docx", "A 46100-2020")</f>
        <v/>
      </c>
      <c r="W116">
        <f>HYPERLINK("https://klasma.github.io/Logging_1882/klagomålsmail/A 46100-2020 FSC-klagomål mail.docx", "A 46100-2020")</f>
        <v/>
      </c>
      <c r="X116">
        <f>HYPERLINK("https://klasma.github.io/Logging_1882/tillsyn/A 46100-2020 tillsynsbegäran.docx", "A 46100-2020")</f>
        <v/>
      </c>
      <c r="Y116">
        <f>HYPERLINK("https://klasma.github.io/Logging_1882/tillsynsmail/A 46100-2020 tillsynsbegäran mail.docx", "A 46100-2020")</f>
        <v/>
      </c>
    </row>
    <row r="117" ht="15" customHeight="1">
      <c r="A117" t="inlineStr">
        <is>
          <t>A 58760-2020</t>
        </is>
      </c>
      <c r="B117" s="1" t="n">
        <v>44146</v>
      </c>
      <c r="C117" s="1" t="n">
        <v>45222</v>
      </c>
      <c r="D117" t="inlineStr">
        <is>
          <t>ÖREBRO LÄN</t>
        </is>
      </c>
      <c r="E117" t="inlineStr">
        <is>
          <t>HÄLLEFORS</t>
        </is>
      </c>
      <c r="F117" t="inlineStr">
        <is>
          <t>Sveaskog</t>
        </is>
      </c>
      <c r="G117" t="n">
        <v>1.8</v>
      </c>
      <c r="H117" t="n">
        <v>0</v>
      </c>
      <c r="I117" t="n">
        <v>1</v>
      </c>
      <c r="J117" t="n">
        <v>1</v>
      </c>
      <c r="K117" t="n">
        <v>0</v>
      </c>
      <c r="L117" t="n">
        <v>0</v>
      </c>
      <c r="M117" t="n">
        <v>0</v>
      </c>
      <c r="N117" t="n">
        <v>0</v>
      </c>
      <c r="O117" t="n">
        <v>1</v>
      </c>
      <c r="P117" t="n">
        <v>0</v>
      </c>
      <c r="Q117" t="n">
        <v>2</v>
      </c>
      <c r="R117" s="2" t="inlineStr">
        <is>
          <t>Tallticka
Stor revmossa</t>
        </is>
      </c>
      <c r="S117">
        <f>HYPERLINK("https://klasma.github.io/Logging_1863/artfynd/A 58760-2020 artfynd.xlsx", "A 58760-2020")</f>
        <v/>
      </c>
      <c r="T117">
        <f>HYPERLINK("https://klasma.github.io/Logging_1863/kartor/A 58760-2020 karta.png", "A 58760-2020")</f>
        <v/>
      </c>
      <c r="V117">
        <f>HYPERLINK("https://klasma.github.io/Logging_1863/klagomål/A 58760-2020 FSC-klagomål.docx", "A 58760-2020")</f>
        <v/>
      </c>
      <c r="W117">
        <f>HYPERLINK("https://klasma.github.io/Logging_1863/klagomålsmail/A 58760-2020 FSC-klagomål mail.docx", "A 58760-2020")</f>
        <v/>
      </c>
      <c r="X117">
        <f>HYPERLINK("https://klasma.github.io/Logging_1863/tillsyn/A 58760-2020 tillsynsbegäran.docx", "A 58760-2020")</f>
        <v/>
      </c>
      <c r="Y117">
        <f>HYPERLINK("https://klasma.github.io/Logging_1863/tillsynsmail/A 58760-2020 tillsynsbegäran mail.docx", "A 58760-2020")</f>
        <v/>
      </c>
    </row>
    <row r="118" ht="15" customHeight="1">
      <c r="A118" t="inlineStr">
        <is>
          <t>A 60559-2020</t>
        </is>
      </c>
      <c r="B118" s="1" t="n">
        <v>44153</v>
      </c>
      <c r="C118" s="1" t="n">
        <v>45222</v>
      </c>
      <c r="D118" t="inlineStr">
        <is>
          <t>ÖREBRO LÄN</t>
        </is>
      </c>
      <c r="E118" t="inlineStr">
        <is>
          <t>HALLSBERG</t>
        </is>
      </c>
      <c r="F118" t="inlineStr">
        <is>
          <t>Kyrkan</t>
        </is>
      </c>
      <c r="G118" t="n">
        <v>27.7</v>
      </c>
      <c r="H118" t="n">
        <v>0</v>
      </c>
      <c r="I118" t="n">
        <v>0</v>
      </c>
      <c r="J118" t="n">
        <v>2</v>
      </c>
      <c r="K118" t="n">
        <v>0</v>
      </c>
      <c r="L118" t="n">
        <v>0</v>
      </c>
      <c r="M118" t="n">
        <v>0</v>
      </c>
      <c r="N118" t="n">
        <v>0</v>
      </c>
      <c r="O118" t="n">
        <v>2</v>
      </c>
      <c r="P118" t="n">
        <v>0</v>
      </c>
      <c r="Q118" t="n">
        <v>2</v>
      </c>
      <c r="R118" s="2" t="inlineStr">
        <is>
          <t>Dofttaggsvamp
Motaggsvamp</t>
        </is>
      </c>
      <c r="S118">
        <f>HYPERLINK("https://klasma.github.io/Logging_1861/artfynd/A 60559-2020 artfynd.xlsx", "A 60559-2020")</f>
        <v/>
      </c>
      <c r="T118">
        <f>HYPERLINK("https://klasma.github.io/Logging_1861/kartor/A 60559-2020 karta.png", "A 60559-2020")</f>
        <v/>
      </c>
      <c r="V118">
        <f>HYPERLINK("https://klasma.github.io/Logging_1861/klagomål/A 60559-2020 FSC-klagomål.docx", "A 60559-2020")</f>
        <v/>
      </c>
      <c r="W118">
        <f>HYPERLINK("https://klasma.github.io/Logging_1861/klagomålsmail/A 60559-2020 FSC-klagomål mail.docx", "A 60559-2020")</f>
        <v/>
      </c>
      <c r="X118">
        <f>HYPERLINK("https://klasma.github.io/Logging_1861/tillsyn/A 60559-2020 tillsynsbegäran.docx", "A 60559-2020")</f>
        <v/>
      </c>
      <c r="Y118">
        <f>HYPERLINK("https://klasma.github.io/Logging_1861/tillsynsmail/A 60559-2020 tillsynsbegäran mail.docx", "A 60559-2020")</f>
        <v/>
      </c>
    </row>
    <row r="119" ht="15" customHeight="1">
      <c r="A119" t="inlineStr">
        <is>
          <t>A 61334-2020</t>
        </is>
      </c>
      <c r="B119" s="1" t="n">
        <v>44155</v>
      </c>
      <c r="C119" s="1" t="n">
        <v>45222</v>
      </c>
      <c r="D119" t="inlineStr">
        <is>
          <t>ÖREBRO LÄN</t>
        </is>
      </c>
      <c r="E119" t="inlineStr">
        <is>
          <t>KARLSKOGA</t>
        </is>
      </c>
      <c r="F119" t="inlineStr">
        <is>
          <t>Sveaskog</t>
        </is>
      </c>
      <c r="G119" t="n">
        <v>1.7</v>
      </c>
      <c r="H119" t="n">
        <v>0</v>
      </c>
      <c r="I119" t="n">
        <v>0</v>
      </c>
      <c r="J119" t="n">
        <v>1</v>
      </c>
      <c r="K119" t="n">
        <v>0</v>
      </c>
      <c r="L119" t="n">
        <v>1</v>
      </c>
      <c r="M119" t="n">
        <v>0</v>
      </c>
      <c r="N119" t="n">
        <v>0</v>
      </c>
      <c r="O119" t="n">
        <v>2</v>
      </c>
      <c r="P119" t="n">
        <v>1</v>
      </c>
      <c r="Q119" t="n">
        <v>2</v>
      </c>
      <c r="R119" s="2" t="inlineStr">
        <is>
          <t>Sälgbrokmal
Skogsklocka</t>
        </is>
      </c>
      <c r="S119">
        <f>HYPERLINK("https://klasma.github.io/Logging_1883/artfynd/A 61334-2020 artfynd.xlsx", "A 61334-2020")</f>
        <v/>
      </c>
      <c r="T119">
        <f>HYPERLINK("https://klasma.github.io/Logging_1883/kartor/A 61334-2020 karta.png", "A 61334-2020")</f>
        <v/>
      </c>
      <c r="V119">
        <f>HYPERLINK("https://klasma.github.io/Logging_1883/klagomål/A 61334-2020 FSC-klagomål.docx", "A 61334-2020")</f>
        <v/>
      </c>
      <c r="W119">
        <f>HYPERLINK("https://klasma.github.io/Logging_1883/klagomålsmail/A 61334-2020 FSC-klagomål mail.docx", "A 61334-2020")</f>
        <v/>
      </c>
      <c r="X119">
        <f>HYPERLINK("https://klasma.github.io/Logging_1883/tillsyn/A 61334-2020 tillsynsbegäran.docx", "A 61334-2020")</f>
        <v/>
      </c>
      <c r="Y119">
        <f>HYPERLINK("https://klasma.github.io/Logging_1883/tillsynsmail/A 61334-2020 tillsynsbegäran mail.docx", "A 61334-2020")</f>
        <v/>
      </c>
    </row>
    <row r="120" ht="15" customHeight="1">
      <c r="A120" t="inlineStr">
        <is>
          <t>A 69455-2020</t>
        </is>
      </c>
      <c r="B120" s="1" t="n">
        <v>44194</v>
      </c>
      <c r="C120" s="1" t="n">
        <v>45222</v>
      </c>
      <c r="D120" t="inlineStr">
        <is>
          <t>ÖREBRO LÄN</t>
        </is>
      </c>
      <c r="E120" t="inlineStr">
        <is>
          <t>ASKERSUND</t>
        </is>
      </c>
      <c r="G120" t="n">
        <v>4.7</v>
      </c>
      <c r="H120" t="n">
        <v>1</v>
      </c>
      <c r="I120" t="n">
        <v>0</v>
      </c>
      <c r="J120" t="n">
        <v>1</v>
      </c>
      <c r="K120" t="n">
        <v>0</v>
      </c>
      <c r="L120" t="n">
        <v>0</v>
      </c>
      <c r="M120" t="n">
        <v>0</v>
      </c>
      <c r="N120" t="n">
        <v>0</v>
      </c>
      <c r="O120" t="n">
        <v>1</v>
      </c>
      <c r="P120" t="n">
        <v>0</v>
      </c>
      <c r="Q120" t="n">
        <v>2</v>
      </c>
      <c r="R120" s="2" t="inlineStr">
        <is>
          <t>Svinrot
Fläcknycklar</t>
        </is>
      </c>
      <c r="S120">
        <f>HYPERLINK("https://klasma.github.io/Logging_1882/artfynd/A 69455-2020 artfynd.xlsx", "A 69455-2020")</f>
        <v/>
      </c>
      <c r="T120">
        <f>HYPERLINK("https://klasma.github.io/Logging_1882/kartor/A 69455-2020 karta.png", "A 69455-2020")</f>
        <v/>
      </c>
      <c r="V120">
        <f>HYPERLINK("https://klasma.github.io/Logging_1882/klagomål/A 69455-2020 FSC-klagomål.docx", "A 69455-2020")</f>
        <v/>
      </c>
      <c r="W120">
        <f>HYPERLINK("https://klasma.github.io/Logging_1882/klagomålsmail/A 69455-2020 FSC-klagomål mail.docx", "A 69455-2020")</f>
        <v/>
      </c>
      <c r="X120">
        <f>HYPERLINK("https://klasma.github.io/Logging_1882/tillsyn/A 69455-2020 tillsynsbegäran.docx", "A 69455-2020")</f>
        <v/>
      </c>
      <c r="Y120">
        <f>HYPERLINK("https://klasma.github.io/Logging_1882/tillsynsmail/A 69455-2020 tillsynsbegäran mail.docx", "A 69455-2020")</f>
        <v/>
      </c>
    </row>
    <row r="121" ht="15" customHeight="1">
      <c r="A121" t="inlineStr">
        <is>
          <t>A 2586-2021</t>
        </is>
      </c>
      <c r="B121" s="1" t="n">
        <v>44214</v>
      </c>
      <c r="C121" s="1" t="n">
        <v>45222</v>
      </c>
      <c r="D121" t="inlineStr">
        <is>
          <t>ÖREBRO LÄN</t>
        </is>
      </c>
      <c r="E121" t="inlineStr">
        <is>
          <t>ÖREBRO</t>
        </is>
      </c>
      <c r="G121" t="n">
        <v>8</v>
      </c>
      <c r="H121" t="n">
        <v>1</v>
      </c>
      <c r="I121" t="n">
        <v>0</v>
      </c>
      <c r="J121" t="n">
        <v>1</v>
      </c>
      <c r="K121" t="n">
        <v>0</v>
      </c>
      <c r="L121" t="n">
        <v>0</v>
      </c>
      <c r="M121" t="n">
        <v>0</v>
      </c>
      <c r="N121" t="n">
        <v>0</v>
      </c>
      <c r="O121" t="n">
        <v>1</v>
      </c>
      <c r="P121" t="n">
        <v>0</v>
      </c>
      <c r="Q121" t="n">
        <v>2</v>
      </c>
      <c r="R121" s="2" t="inlineStr">
        <is>
          <t>Tallticka
Fläcknycklar</t>
        </is>
      </c>
      <c r="S121">
        <f>HYPERLINK("https://klasma.github.io/Logging_1880/artfynd/A 2586-2021 artfynd.xlsx", "A 2586-2021")</f>
        <v/>
      </c>
      <c r="T121">
        <f>HYPERLINK("https://klasma.github.io/Logging_1880/kartor/A 2586-2021 karta.png", "A 2586-2021")</f>
        <v/>
      </c>
      <c r="V121">
        <f>HYPERLINK("https://klasma.github.io/Logging_1880/klagomål/A 2586-2021 FSC-klagomål.docx", "A 2586-2021")</f>
        <v/>
      </c>
      <c r="W121">
        <f>HYPERLINK("https://klasma.github.io/Logging_1880/klagomålsmail/A 2586-2021 FSC-klagomål mail.docx", "A 2586-2021")</f>
        <v/>
      </c>
      <c r="X121">
        <f>HYPERLINK("https://klasma.github.io/Logging_1880/tillsyn/A 2586-2021 tillsynsbegäran.docx", "A 2586-2021")</f>
        <v/>
      </c>
      <c r="Y121">
        <f>HYPERLINK("https://klasma.github.io/Logging_1880/tillsynsmail/A 2586-2021 tillsynsbegäran mail.docx", "A 2586-2021")</f>
        <v/>
      </c>
    </row>
    <row r="122" ht="15" customHeight="1">
      <c r="A122" t="inlineStr">
        <is>
          <t>A 8267-2021</t>
        </is>
      </c>
      <c r="B122" s="1" t="n">
        <v>44244</v>
      </c>
      <c r="C122" s="1" t="n">
        <v>45222</v>
      </c>
      <c r="D122" t="inlineStr">
        <is>
          <t>ÖREBRO LÄN</t>
        </is>
      </c>
      <c r="E122" t="inlineStr">
        <is>
          <t>ÖREBRO</t>
        </is>
      </c>
      <c r="G122" t="n">
        <v>2.5</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HYPERLINK("https://klasma.github.io/Logging_1880/artfynd/A 8267-2021 artfynd.xlsx", "A 8267-2021")</f>
        <v/>
      </c>
      <c r="T122">
        <f>HYPERLINK("https://klasma.github.io/Logging_1880/kartor/A 8267-2021 karta.png", "A 8267-2021")</f>
        <v/>
      </c>
      <c r="V122">
        <f>HYPERLINK("https://klasma.github.io/Logging_1880/klagomål/A 8267-2021 FSC-klagomål.docx", "A 8267-2021")</f>
        <v/>
      </c>
      <c r="W122">
        <f>HYPERLINK("https://klasma.github.io/Logging_1880/klagomålsmail/A 8267-2021 FSC-klagomål mail.docx", "A 8267-2021")</f>
        <v/>
      </c>
      <c r="X122">
        <f>HYPERLINK("https://klasma.github.io/Logging_1880/tillsyn/A 8267-2021 tillsynsbegäran.docx", "A 8267-2021")</f>
        <v/>
      </c>
      <c r="Y122">
        <f>HYPERLINK("https://klasma.github.io/Logging_1880/tillsynsmail/A 8267-2021 tillsynsbegäran mail.docx", "A 8267-2021")</f>
        <v/>
      </c>
    </row>
    <row r="123" ht="15" customHeight="1">
      <c r="A123" t="inlineStr">
        <is>
          <t>A 14807-2021</t>
        </is>
      </c>
      <c r="B123" s="1" t="n">
        <v>44280</v>
      </c>
      <c r="C123" s="1" t="n">
        <v>45222</v>
      </c>
      <c r="D123" t="inlineStr">
        <is>
          <t>ÖREBRO LÄN</t>
        </is>
      </c>
      <c r="E123" t="inlineStr">
        <is>
          <t>LINDESBERG</t>
        </is>
      </c>
      <c r="G123" t="n">
        <v>2</v>
      </c>
      <c r="H123" t="n">
        <v>1</v>
      </c>
      <c r="I123" t="n">
        <v>0</v>
      </c>
      <c r="J123" t="n">
        <v>0</v>
      </c>
      <c r="K123" t="n">
        <v>0</v>
      </c>
      <c r="L123" t="n">
        <v>2</v>
      </c>
      <c r="M123" t="n">
        <v>0</v>
      </c>
      <c r="N123" t="n">
        <v>0</v>
      </c>
      <c r="O123" t="n">
        <v>2</v>
      </c>
      <c r="P123" t="n">
        <v>2</v>
      </c>
      <c r="Q123" t="n">
        <v>2</v>
      </c>
      <c r="R123" s="2" t="inlineStr">
        <is>
          <t>Ask
Asknätfjäril</t>
        </is>
      </c>
      <c r="S123">
        <f>HYPERLINK("https://klasma.github.io/Logging_1885/artfynd/A 14807-2021 artfynd.xlsx", "A 14807-2021")</f>
        <v/>
      </c>
      <c r="T123">
        <f>HYPERLINK("https://klasma.github.io/Logging_1885/kartor/A 14807-2021 karta.png", "A 14807-2021")</f>
        <v/>
      </c>
      <c r="V123">
        <f>HYPERLINK("https://klasma.github.io/Logging_1885/klagomål/A 14807-2021 FSC-klagomål.docx", "A 14807-2021")</f>
        <v/>
      </c>
      <c r="W123">
        <f>HYPERLINK("https://klasma.github.io/Logging_1885/klagomålsmail/A 14807-2021 FSC-klagomål mail.docx", "A 14807-2021")</f>
        <v/>
      </c>
      <c r="X123">
        <f>HYPERLINK("https://klasma.github.io/Logging_1885/tillsyn/A 14807-2021 tillsynsbegäran.docx", "A 14807-2021")</f>
        <v/>
      </c>
      <c r="Y123">
        <f>HYPERLINK("https://klasma.github.io/Logging_1885/tillsynsmail/A 14807-2021 tillsynsbegäran mail.docx", "A 14807-2021")</f>
        <v/>
      </c>
    </row>
    <row r="124" ht="15" customHeight="1">
      <c r="A124" t="inlineStr">
        <is>
          <t>A 16884-2021</t>
        </is>
      </c>
      <c r="B124" s="1" t="n">
        <v>44295</v>
      </c>
      <c r="C124" s="1" t="n">
        <v>45222</v>
      </c>
      <c r="D124" t="inlineStr">
        <is>
          <t>ÖREBRO LÄN</t>
        </is>
      </c>
      <c r="E124" t="inlineStr">
        <is>
          <t>LEKEBERG</t>
        </is>
      </c>
      <c r="G124" t="n">
        <v>4.8</v>
      </c>
      <c r="H124" t="n">
        <v>2</v>
      </c>
      <c r="I124" t="n">
        <v>0</v>
      </c>
      <c r="J124" t="n">
        <v>0</v>
      </c>
      <c r="K124" t="n">
        <v>0</v>
      </c>
      <c r="L124" t="n">
        <v>0</v>
      </c>
      <c r="M124" t="n">
        <v>0</v>
      </c>
      <c r="N124" t="n">
        <v>0</v>
      </c>
      <c r="O124" t="n">
        <v>0</v>
      </c>
      <c r="P124" t="n">
        <v>0</v>
      </c>
      <c r="Q124" t="n">
        <v>2</v>
      </c>
      <c r="R124" s="2" t="inlineStr">
        <is>
          <t>Vanlig groda
Vanlig padda</t>
        </is>
      </c>
      <c r="S124">
        <f>HYPERLINK("https://klasma.github.io/Logging_1814/artfynd/A 16884-2021 artfynd.xlsx", "A 16884-2021")</f>
        <v/>
      </c>
      <c r="T124">
        <f>HYPERLINK("https://klasma.github.io/Logging_1814/kartor/A 16884-2021 karta.png", "A 16884-2021")</f>
        <v/>
      </c>
      <c r="V124">
        <f>HYPERLINK("https://klasma.github.io/Logging_1814/klagomål/A 16884-2021 FSC-klagomål.docx", "A 16884-2021")</f>
        <v/>
      </c>
      <c r="W124">
        <f>HYPERLINK("https://klasma.github.io/Logging_1814/klagomålsmail/A 16884-2021 FSC-klagomål mail.docx", "A 16884-2021")</f>
        <v/>
      </c>
      <c r="X124">
        <f>HYPERLINK("https://klasma.github.io/Logging_1814/tillsyn/A 16884-2021 tillsynsbegäran.docx", "A 16884-2021")</f>
        <v/>
      </c>
      <c r="Y124">
        <f>HYPERLINK("https://klasma.github.io/Logging_1814/tillsynsmail/A 16884-2021 tillsynsbegäran mail.docx", "A 16884-2021")</f>
        <v/>
      </c>
    </row>
    <row r="125" ht="15" customHeight="1">
      <c r="A125" t="inlineStr">
        <is>
          <t>A 21177-2021</t>
        </is>
      </c>
      <c r="B125" s="1" t="n">
        <v>44320</v>
      </c>
      <c r="C125" s="1" t="n">
        <v>45222</v>
      </c>
      <c r="D125" t="inlineStr">
        <is>
          <t>ÖREBRO LÄN</t>
        </is>
      </c>
      <c r="E125" t="inlineStr">
        <is>
          <t>LINDESBERG</t>
        </is>
      </c>
      <c r="F125" t="inlineStr">
        <is>
          <t>Kommuner</t>
        </is>
      </c>
      <c r="G125" t="n">
        <v>2.3</v>
      </c>
      <c r="H125" t="n">
        <v>0</v>
      </c>
      <c r="I125" t="n">
        <v>1</v>
      </c>
      <c r="J125" t="n">
        <v>0</v>
      </c>
      <c r="K125" t="n">
        <v>0</v>
      </c>
      <c r="L125" t="n">
        <v>1</v>
      </c>
      <c r="M125" t="n">
        <v>0</v>
      </c>
      <c r="N125" t="n">
        <v>0</v>
      </c>
      <c r="O125" t="n">
        <v>1</v>
      </c>
      <c r="P125" t="n">
        <v>1</v>
      </c>
      <c r="Q125" t="n">
        <v>2</v>
      </c>
      <c r="R125" s="2" t="inlineStr">
        <is>
          <t>Ask
Svart trolldruva</t>
        </is>
      </c>
      <c r="S125">
        <f>HYPERLINK("https://klasma.github.io/Logging_1885/artfynd/A 21177-2021 artfynd.xlsx", "A 21177-2021")</f>
        <v/>
      </c>
      <c r="T125">
        <f>HYPERLINK("https://klasma.github.io/Logging_1885/kartor/A 21177-2021 karta.png", "A 21177-2021")</f>
        <v/>
      </c>
      <c r="V125">
        <f>HYPERLINK("https://klasma.github.io/Logging_1885/klagomål/A 21177-2021 FSC-klagomål.docx", "A 21177-2021")</f>
        <v/>
      </c>
      <c r="W125">
        <f>HYPERLINK("https://klasma.github.io/Logging_1885/klagomålsmail/A 21177-2021 FSC-klagomål mail.docx", "A 21177-2021")</f>
        <v/>
      </c>
      <c r="X125">
        <f>HYPERLINK("https://klasma.github.io/Logging_1885/tillsyn/A 21177-2021 tillsynsbegäran.docx", "A 21177-2021")</f>
        <v/>
      </c>
      <c r="Y125">
        <f>HYPERLINK("https://klasma.github.io/Logging_1885/tillsynsmail/A 21177-2021 tillsynsbegäran mail.docx", "A 21177-2021")</f>
        <v/>
      </c>
    </row>
    <row r="126" ht="15" customHeight="1">
      <c r="A126" t="inlineStr">
        <is>
          <t>A 52268-2021</t>
        </is>
      </c>
      <c r="B126" s="1" t="n">
        <v>44463</v>
      </c>
      <c r="C126" s="1" t="n">
        <v>45222</v>
      </c>
      <c r="D126" t="inlineStr">
        <is>
          <t>ÖREBRO LÄN</t>
        </is>
      </c>
      <c r="E126" t="inlineStr">
        <is>
          <t>ASKERSUND</t>
        </is>
      </c>
      <c r="F126" t="inlineStr">
        <is>
          <t>Sveaskog</t>
        </is>
      </c>
      <c r="G126" t="n">
        <v>2.8</v>
      </c>
      <c r="H126" t="n">
        <v>1</v>
      </c>
      <c r="I126" t="n">
        <v>1</v>
      </c>
      <c r="J126" t="n">
        <v>0</v>
      </c>
      <c r="K126" t="n">
        <v>0</v>
      </c>
      <c r="L126" t="n">
        <v>0</v>
      </c>
      <c r="M126" t="n">
        <v>0</v>
      </c>
      <c r="N126" t="n">
        <v>0</v>
      </c>
      <c r="O126" t="n">
        <v>0</v>
      </c>
      <c r="P126" t="n">
        <v>0</v>
      </c>
      <c r="Q126" t="n">
        <v>2</v>
      </c>
      <c r="R126" s="2" t="inlineStr">
        <is>
          <t>Svart trolldruva
Blåsippa</t>
        </is>
      </c>
      <c r="S126">
        <f>HYPERLINK("https://klasma.github.io/Logging_1882/artfynd/A 52268-2021 artfynd.xlsx", "A 52268-2021")</f>
        <v/>
      </c>
      <c r="T126">
        <f>HYPERLINK("https://klasma.github.io/Logging_1882/kartor/A 52268-2021 karta.png", "A 52268-2021")</f>
        <v/>
      </c>
      <c r="V126">
        <f>HYPERLINK("https://klasma.github.io/Logging_1882/klagomål/A 52268-2021 FSC-klagomål.docx", "A 52268-2021")</f>
        <v/>
      </c>
      <c r="W126">
        <f>HYPERLINK("https://klasma.github.io/Logging_1882/klagomålsmail/A 52268-2021 FSC-klagomål mail.docx", "A 52268-2021")</f>
        <v/>
      </c>
      <c r="X126">
        <f>HYPERLINK("https://klasma.github.io/Logging_1882/tillsyn/A 52268-2021 tillsynsbegäran.docx", "A 52268-2021")</f>
        <v/>
      </c>
      <c r="Y126">
        <f>HYPERLINK("https://klasma.github.io/Logging_1882/tillsynsmail/A 52268-2021 tillsynsbegäran mail.docx", "A 52268-2021")</f>
        <v/>
      </c>
    </row>
    <row r="127" ht="15" customHeight="1">
      <c r="A127" t="inlineStr">
        <is>
          <t>A 52264-2021</t>
        </is>
      </c>
      <c r="B127" s="1" t="n">
        <v>44463</v>
      </c>
      <c r="C127" s="1" t="n">
        <v>45222</v>
      </c>
      <c r="D127" t="inlineStr">
        <is>
          <t>ÖREBRO LÄN</t>
        </is>
      </c>
      <c r="E127" t="inlineStr">
        <is>
          <t>ASKERSUND</t>
        </is>
      </c>
      <c r="F127" t="inlineStr">
        <is>
          <t>Sveaskog</t>
        </is>
      </c>
      <c r="G127" t="n">
        <v>2.8</v>
      </c>
      <c r="H127" t="n">
        <v>1</v>
      </c>
      <c r="I127" t="n">
        <v>1</v>
      </c>
      <c r="J127" t="n">
        <v>0</v>
      </c>
      <c r="K127" t="n">
        <v>0</v>
      </c>
      <c r="L127" t="n">
        <v>0</v>
      </c>
      <c r="M127" t="n">
        <v>0</v>
      </c>
      <c r="N127" t="n">
        <v>0</v>
      </c>
      <c r="O127" t="n">
        <v>0</v>
      </c>
      <c r="P127" t="n">
        <v>0</v>
      </c>
      <c r="Q127" t="n">
        <v>2</v>
      </c>
      <c r="R127" s="2" t="inlineStr">
        <is>
          <t>Svart trolldruva
Blåsippa</t>
        </is>
      </c>
      <c r="S127">
        <f>HYPERLINK("https://klasma.github.io/Logging_1882/artfynd/A 52264-2021 artfynd.xlsx", "A 52264-2021")</f>
        <v/>
      </c>
      <c r="T127">
        <f>HYPERLINK("https://klasma.github.io/Logging_1882/kartor/A 52264-2021 karta.png", "A 52264-2021")</f>
        <v/>
      </c>
      <c r="V127">
        <f>HYPERLINK("https://klasma.github.io/Logging_1882/klagomål/A 52264-2021 FSC-klagomål.docx", "A 52264-2021")</f>
        <v/>
      </c>
      <c r="W127">
        <f>HYPERLINK("https://klasma.github.io/Logging_1882/klagomålsmail/A 52264-2021 FSC-klagomål mail.docx", "A 52264-2021")</f>
        <v/>
      </c>
      <c r="X127">
        <f>HYPERLINK("https://klasma.github.io/Logging_1882/tillsyn/A 52264-2021 tillsynsbegäran.docx", "A 52264-2021")</f>
        <v/>
      </c>
      <c r="Y127">
        <f>HYPERLINK("https://klasma.github.io/Logging_1882/tillsynsmail/A 52264-2021 tillsynsbegäran mail.docx", "A 52264-2021")</f>
        <v/>
      </c>
    </row>
    <row r="128" ht="15" customHeight="1">
      <c r="A128" t="inlineStr">
        <is>
          <t>A 54332-2021</t>
        </is>
      </c>
      <c r="B128" s="1" t="n">
        <v>44472</v>
      </c>
      <c r="C128" s="1" t="n">
        <v>45222</v>
      </c>
      <c r="D128" t="inlineStr">
        <is>
          <t>ÖREBRO LÄN</t>
        </is>
      </c>
      <c r="E128" t="inlineStr">
        <is>
          <t>LINDESBERG</t>
        </is>
      </c>
      <c r="G128" t="n">
        <v>1.4</v>
      </c>
      <c r="H128" t="n">
        <v>1</v>
      </c>
      <c r="I128" t="n">
        <v>0</v>
      </c>
      <c r="J128" t="n">
        <v>1</v>
      </c>
      <c r="K128" t="n">
        <v>0</v>
      </c>
      <c r="L128" t="n">
        <v>1</v>
      </c>
      <c r="M128" t="n">
        <v>0</v>
      </c>
      <c r="N128" t="n">
        <v>0</v>
      </c>
      <c r="O128" t="n">
        <v>2</v>
      </c>
      <c r="P128" t="n">
        <v>1</v>
      </c>
      <c r="Q128" t="n">
        <v>2</v>
      </c>
      <c r="R128" s="2" t="inlineStr">
        <is>
          <t>Asknätfjäril
Blek fingersvamp</t>
        </is>
      </c>
      <c r="S128">
        <f>HYPERLINK("https://klasma.github.io/Logging_1885/artfynd/A 54332-2021 artfynd.xlsx", "A 54332-2021")</f>
        <v/>
      </c>
      <c r="T128">
        <f>HYPERLINK("https://klasma.github.io/Logging_1885/kartor/A 54332-2021 karta.png", "A 54332-2021")</f>
        <v/>
      </c>
      <c r="V128">
        <f>HYPERLINK("https://klasma.github.io/Logging_1885/klagomål/A 54332-2021 FSC-klagomål.docx", "A 54332-2021")</f>
        <v/>
      </c>
      <c r="W128">
        <f>HYPERLINK("https://klasma.github.io/Logging_1885/klagomålsmail/A 54332-2021 FSC-klagomål mail.docx", "A 54332-2021")</f>
        <v/>
      </c>
      <c r="X128">
        <f>HYPERLINK("https://klasma.github.io/Logging_1885/tillsyn/A 54332-2021 tillsynsbegäran.docx", "A 54332-2021")</f>
        <v/>
      </c>
      <c r="Y128">
        <f>HYPERLINK("https://klasma.github.io/Logging_1885/tillsynsmail/A 54332-2021 tillsynsbegäran mail.docx", "A 54332-2021")</f>
        <v/>
      </c>
    </row>
    <row r="129" ht="15" customHeight="1">
      <c r="A129" t="inlineStr">
        <is>
          <t>A 57803-2021</t>
        </is>
      </c>
      <c r="B129" s="1" t="n">
        <v>44484</v>
      </c>
      <c r="C129" s="1" t="n">
        <v>45222</v>
      </c>
      <c r="D129" t="inlineStr">
        <is>
          <t>ÖREBRO LÄN</t>
        </is>
      </c>
      <c r="E129" t="inlineStr">
        <is>
          <t>LINDESBERG</t>
        </is>
      </c>
      <c r="G129" t="n">
        <v>9.4</v>
      </c>
      <c r="H129" t="n">
        <v>1</v>
      </c>
      <c r="I129" t="n">
        <v>0</v>
      </c>
      <c r="J129" t="n">
        <v>2</v>
      </c>
      <c r="K129" t="n">
        <v>0</v>
      </c>
      <c r="L129" t="n">
        <v>0</v>
      </c>
      <c r="M129" t="n">
        <v>0</v>
      </c>
      <c r="N129" t="n">
        <v>0</v>
      </c>
      <c r="O129" t="n">
        <v>2</v>
      </c>
      <c r="P129" t="n">
        <v>0</v>
      </c>
      <c r="Q129" t="n">
        <v>2</v>
      </c>
      <c r="R129" s="2" t="inlineStr">
        <is>
          <t>Motaggsvamp
Talltita</t>
        </is>
      </c>
      <c r="S129">
        <f>HYPERLINK("https://klasma.github.io/Logging_1885/artfynd/A 57803-2021 artfynd.xlsx", "A 57803-2021")</f>
        <v/>
      </c>
      <c r="T129">
        <f>HYPERLINK("https://klasma.github.io/Logging_1885/kartor/A 57803-2021 karta.png", "A 57803-2021")</f>
        <v/>
      </c>
      <c r="V129">
        <f>HYPERLINK("https://klasma.github.io/Logging_1885/klagomål/A 57803-2021 FSC-klagomål.docx", "A 57803-2021")</f>
        <v/>
      </c>
      <c r="W129">
        <f>HYPERLINK("https://klasma.github.io/Logging_1885/klagomålsmail/A 57803-2021 FSC-klagomål mail.docx", "A 57803-2021")</f>
        <v/>
      </c>
      <c r="X129">
        <f>HYPERLINK("https://klasma.github.io/Logging_1885/tillsyn/A 57803-2021 tillsynsbegäran.docx", "A 57803-2021")</f>
        <v/>
      </c>
      <c r="Y129">
        <f>HYPERLINK("https://klasma.github.io/Logging_1885/tillsynsmail/A 57803-2021 tillsynsbegäran mail.docx", "A 57803-2021")</f>
        <v/>
      </c>
    </row>
    <row r="130" ht="15" customHeight="1">
      <c r="A130" t="inlineStr">
        <is>
          <t>A 65216-2021</t>
        </is>
      </c>
      <c r="B130" s="1" t="n">
        <v>44515</v>
      </c>
      <c r="C130" s="1" t="n">
        <v>45222</v>
      </c>
      <c r="D130" t="inlineStr">
        <is>
          <t>ÖREBRO LÄN</t>
        </is>
      </c>
      <c r="E130" t="inlineStr">
        <is>
          <t>LJUSNARSBERG</t>
        </is>
      </c>
      <c r="F130" t="inlineStr">
        <is>
          <t>Bergvik skog väst AB</t>
        </is>
      </c>
      <c r="G130" t="n">
        <v>1.9</v>
      </c>
      <c r="H130" t="n">
        <v>0</v>
      </c>
      <c r="I130" t="n">
        <v>1</v>
      </c>
      <c r="J130" t="n">
        <v>1</v>
      </c>
      <c r="K130" t="n">
        <v>0</v>
      </c>
      <c r="L130" t="n">
        <v>0</v>
      </c>
      <c r="M130" t="n">
        <v>0</v>
      </c>
      <c r="N130" t="n">
        <v>0</v>
      </c>
      <c r="O130" t="n">
        <v>1</v>
      </c>
      <c r="P130" t="n">
        <v>0</v>
      </c>
      <c r="Q130" t="n">
        <v>2</v>
      </c>
      <c r="R130" s="2" t="inlineStr">
        <is>
          <t>Garnlav
Mindre märgborre</t>
        </is>
      </c>
      <c r="S130">
        <f>HYPERLINK("https://klasma.github.io/Logging_1864/artfynd/A 65216-2021 artfynd.xlsx", "A 65216-2021")</f>
        <v/>
      </c>
      <c r="T130">
        <f>HYPERLINK("https://klasma.github.io/Logging_1864/kartor/A 65216-2021 karta.png", "A 65216-2021")</f>
        <v/>
      </c>
      <c r="V130">
        <f>HYPERLINK("https://klasma.github.io/Logging_1864/klagomål/A 65216-2021 FSC-klagomål.docx", "A 65216-2021")</f>
        <v/>
      </c>
      <c r="W130">
        <f>HYPERLINK("https://klasma.github.io/Logging_1864/klagomålsmail/A 65216-2021 FSC-klagomål mail.docx", "A 65216-2021")</f>
        <v/>
      </c>
      <c r="X130">
        <f>HYPERLINK("https://klasma.github.io/Logging_1864/tillsyn/A 65216-2021 tillsynsbegäran.docx", "A 65216-2021")</f>
        <v/>
      </c>
      <c r="Y130">
        <f>HYPERLINK("https://klasma.github.io/Logging_1864/tillsynsmail/A 65216-2021 tillsynsbegäran mail.docx", "A 65216-2021")</f>
        <v/>
      </c>
    </row>
    <row r="131" ht="15" customHeight="1">
      <c r="A131" t="inlineStr">
        <is>
          <t>A 65217-2021</t>
        </is>
      </c>
      <c r="B131" s="1" t="n">
        <v>44515</v>
      </c>
      <c r="C131" s="1" t="n">
        <v>45222</v>
      </c>
      <c r="D131" t="inlineStr">
        <is>
          <t>ÖREBRO LÄN</t>
        </is>
      </c>
      <c r="E131" t="inlineStr">
        <is>
          <t>LJUSNARSBERG</t>
        </is>
      </c>
      <c r="F131" t="inlineStr">
        <is>
          <t>Bergvik skog väst AB</t>
        </is>
      </c>
      <c r="G131" t="n">
        <v>1.3</v>
      </c>
      <c r="H131" t="n">
        <v>1</v>
      </c>
      <c r="I131" t="n">
        <v>0</v>
      </c>
      <c r="J131" t="n">
        <v>2</v>
      </c>
      <c r="K131" t="n">
        <v>0</v>
      </c>
      <c r="L131" t="n">
        <v>0</v>
      </c>
      <c r="M131" t="n">
        <v>0</v>
      </c>
      <c r="N131" t="n">
        <v>0</v>
      </c>
      <c r="O131" t="n">
        <v>2</v>
      </c>
      <c r="P131" t="n">
        <v>0</v>
      </c>
      <c r="Q131" t="n">
        <v>2</v>
      </c>
      <c r="R131" s="2" t="inlineStr">
        <is>
          <t>Tretåig hackspett
Vedtrappmossa</t>
        </is>
      </c>
      <c r="S131">
        <f>HYPERLINK("https://klasma.github.io/Logging_1864/artfynd/A 65217-2021 artfynd.xlsx", "A 65217-2021")</f>
        <v/>
      </c>
      <c r="T131">
        <f>HYPERLINK("https://klasma.github.io/Logging_1864/kartor/A 65217-2021 karta.png", "A 65217-2021")</f>
        <v/>
      </c>
      <c r="V131">
        <f>HYPERLINK("https://klasma.github.io/Logging_1864/klagomål/A 65217-2021 FSC-klagomål.docx", "A 65217-2021")</f>
        <v/>
      </c>
      <c r="W131">
        <f>HYPERLINK("https://klasma.github.io/Logging_1864/klagomålsmail/A 65217-2021 FSC-klagomål mail.docx", "A 65217-2021")</f>
        <v/>
      </c>
      <c r="X131">
        <f>HYPERLINK("https://klasma.github.io/Logging_1864/tillsyn/A 65217-2021 tillsynsbegäran.docx", "A 65217-2021")</f>
        <v/>
      </c>
      <c r="Y131">
        <f>HYPERLINK("https://klasma.github.io/Logging_1864/tillsynsmail/A 65217-2021 tillsynsbegäran mail.docx", "A 65217-2021")</f>
        <v/>
      </c>
    </row>
    <row r="132" ht="15" customHeight="1">
      <c r="A132" t="inlineStr">
        <is>
          <t>A 3927-2022</t>
        </is>
      </c>
      <c r="B132" s="1" t="n">
        <v>44587</v>
      </c>
      <c r="C132" s="1" t="n">
        <v>45222</v>
      </c>
      <c r="D132" t="inlineStr">
        <is>
          <t>ÖREBRO LÄN</t>
        </is>
      </c>
      <c r="E132" t="inlineStr">
        <is>
          <t>ASKERSUND</t>
        </is>
      </c>
      <c r="G132" t="n">
        <v>2.2</v>
      </c>
      <c r="H132" t="n">
        <v>2</v>
      </c>
      <c r="I132" t="n">
        <v>0</v>
      </c>
      <c r="J132" t="n">
        <v>1</v>
      </c>
      <c r="K132" t="n">
        <v>0</v>
      </c>
      <c r="L132" t="n">
        <v>0</v>
      </c>
      <c r="M132" t="n">
        <v>0</v>
      </c>
      <c r="N132" t="n">
        <v>0</v>
      </c>
      <c r="O132" t="n">
        <v>1</v>
      </c>
      <c r="P132" t="n">
        <v>0</v>
      </c>
      <c r="Q132" t="n">
        <v>2</v>
      </c>
      <c r="R132" s="2" t="inlineStr">
        <is>
          <t>Spillkråka
Revlummer</t>
        </is>
      </c>
      <c r="S132">
        <f>HYPERLINK("https://klasma.github.io/Logging_1882/artfynd/A 3927-2022 artfynd.xlsx", "A 3927-2022")</f>
        <v/>
      </c>
      <c r="T132">
        <f>HYPERLINK("https://klasma.github.io/Logging_1882/kartor/A 3927-2022 karta.png", "A 3927-2022")</f>
        <v/>
      </c>
      <c r="V132">
        <f>HYPERLINK("https://klasma.github.io/Logging_1882/klagomål/A 3927-2022 FSC-klagomål.docx", "A 3927-2022")</f>
        <v/>
      </c>
      <c r="W132">
        <f>HYPERLINK("https://klasma.github.io/Logging_1882/klagomålsmail/A 3927-2022 FSC-klagomål mail.docx", "A 3927-2022")</f>
        <v/>
      </c>
      <c r="X132">
        <f>HYPERLINK("https://klasma.github.io/Logging_1882/tillsyn/A 3927-2022 tillsynsbegäran.docx", "A 3927-2022")</f>
        <v/>
      </c>
      <c r="Y132">
        <f>HYPERLINK("https://klasma.github.io/Logging_1882/tillsynsmail/A 3927-2022 tillsynsbegäran mail.docx", "A 3927-2022")</f>
        <v/>
      </c>
    </row>
    <row r="133" ht="15" customHeight="1">
      <c r="A133" t="inlineStr">
        <is>
          <t>A 5360-2022</t>
        </is>
      </c>
      <c r="B133" s="1" t="n">
        <v>44594</v>
      </c>
      <c r="C133" s="1" t="n">
        <v>45222</v>
      </c>
      <c r="D133" t="inlineStr">
        <is>
          <t>ÖREBRO LÄN</t>
        </is>
      </c>
      <c r="E133" t="inlineStr">
        <is>
          <t>HÄLLEFORS</t>
        </is>
      </c>
      <c r="G133" t="n">
        <v>3.7</v>
      </c>
      <c r="H133" t="n">
        <v>0</v>
      </c>
      <c r="I133" t="n">
        <v>2</v>
      </c>
      <c r="J133" t="n">
        <v>0</v>
      </c>
      <c r="K133" t="n">
        <v>0</v>
      </c>
      <c r="L133" t="n">
        <v>0</v>
      </c>
      <c r="M133" t="n">
        <v>0</v>
      </c>
      <c r="N133" t="n">
        <v>0</v>
      </c>
      <c r="O133" t="n">
        <v>0</v>
      </c>
      <c r="P133" t="n">
        <v>0</v>
      </c>
      <c r="Q133" t="n">
        <v>2</v>
      </c>
      <c r="R133" s="2" t="inlineStr">
        <is>
          <t>Mörk husmossa
Smal svampklubba</t>
        </is>
      </c>
      <c r="S133">
        <f>HYPERLINK("https://klasma.github.io/Logging_1863/artfynd/A 5360-2022 artfynd.xlsx", "A 5360-2022")</f>
        <v/>
      </c>
      <c r="T133">
        <f>HYPERLINK("https://klasma.github.io/Logging_1863/kartor/A 5360-2022 karta.png", "A 5360-2022")</f>
        <v/>
      </c>
      <c r="V133">
        <f>HYPERLINK("https://klasma.github.io/Logging_1863/klagomål/A 5360-2022 FSC-klagomål.docx", "A 5360-2022")</f>
        <v/>
      </c>
      <c r="W133">
        <f>HYPERLINK("https://klasma.github.io/Logging_1863/klagomålsmail/A 5360-2022 FSC-klagomål mail.docx", "A 5360-2022")</f>
        <v/>
      </c>
      <c r="X133">
        <f>HYPERLINK("https://klasma.github.io/Logging_1863/tillsyn/A 5360-2022 tillsynsbegäran.docx", "A 5360-2022")</f>
        <v/>
      </c>
      <c r="Y133">
        <f>HYPERLINK("https://klasma.github.io/Logging_1863/tillsynsmail/A 5360-2022 tillsynsbegäran mail.docx", "A 5360-2022")</f>
        <v/>
      </c>
    </row>
    <row r="134" ht="15" customHeight="1">
      <c r="A134" t="inlineStr">
        <is>
          <t>A 5760-2022</t>
        </is>
      </c>
      <c r="B134" s="1" t="n">
        <v>44596</v>
      </c>
      <c r="C134" s="1" t="n">
        <v>45222</v>
      </c>
      <c r="D134" t="inlineStr">
        <is>
          <t>ÖREBRO LÄN</t>
        </is>
      </c>
      <c r="E134" t="inlineStr">
        <is>
          <t>LJUSNARSBERG</t>
        </is>
      </c>
      <c r="G134" t="n">
        <v>10.9</v>
      </c>
      <c r="H134" t="n">
        <v>0</v>
      </c>
      <c r="I134" t="n">
        <v>1</v>
      </c>
      <c r="J134" t="n">
        <v>1</v>
      </c>
      <c r="K134" t="n">
        <v>0</v>
      </c>
      <c r="L134" t="n">
        <v>0</v>
      </c>
      <c r="M134" t="n">
        <v>0</v>
      </c>
      <c r="N134" t="n">
        <v>0</v>
      </c>
      <c r="O134" t="n">
        <v>1</v>
      </c>
      <c r="P134" t="n">
        <v>0</v>
      </c>
      <c r="Q134" t="n">
        <v>2</v>
      </c>
      <c r="R134" s="2" t="inlineStr">
        <is>
          <t>Vedtrappmossa
Vedticka</t>
        </is>
      </c>
      <c r="S134">
        <f>HYPERLINK("https://klasma.github.io/Logging_1864/artfynd/A 5760-2022 artfynd.xlsx", "A 5760-2022")</f>
        <v/>
      </c>
      <c r="T134">
        <f>HYPERLINK("https://klasma.github.io/Logging_1864/kartor/A 5760-2022 karta.png", "A 5760-2022")</f>
        <v/>
      </c>
      <c r="V134">
        <f>HYPERLINK("https://klasma.github.io/Logging_1864/klagomål/A 5760-2022 FSC-klagomål.docx", "A 5760-2022")</f>
        <v/>
      </c>
      <c r="W134">
        <f>HYPERLINK("https://klasma.github.io/Logging_1864/klagomålsmail/A 5760-2022 FSC-klagomål mail.docx", "A 5760-2022")</f>
        <v/>
      </c>
      <c r="X134">
        <f>HYPERLINK("https://klasma.github.io/Logging_1864/tillsyn/A 5760-2022 tillsynsbegäran.docx", "A 5760-2022")</f>
        <v/>
      </c>
      <c r="Y134">
        <f>HYPERLINK("https://klasma.github.io/Logging_1864/tillsynsmail/A 5760-2022 tillsynsbegäran mail.docx", "A 5760-2022")</f>
        <v/>
      </c>
    </row>
    <row r="135" ht="15" customHeight="1">
      <c r="A135" t="inlineStr">
        <is>
          <t>A 11018-2022</t>
        </is>
      </c>
      <c r="B135" s="1" t="n">
        <v>44628</v>
      </c>
      <c r="C135" s="1" t="n">
        <v>45222</v>
      </c>
      <c r="D135" t="inlineStr">
        <is>
          <t>ÖREBRO LÄN</t>
        </is>
      </c>
      <c r="E135" t="inlineStr">
        <is>
          <t>LAXÅ</t>
        </is>
      </c>
      <c r="G135" t="n">
        <v>9.300000000000001</v>
      </c>
      <c r="H135" t="n">
        <v>1</v>
      </c>
      <c r="I135" t="n">
        <v>1</v>
      </c>
      <c r="J135" t="n">
        <v>1</v>
      </c>
      <c r="K135" t="n">
        <v>0</v>
      </c>
      <c r="L135" t="n">
        <v>0</v>
      </c>
      <c r="M135" t="n">
        <v>0</v>
      </c>
      <c r="N135" t="n">
        <v>0</v>
      </c>
      <c r="O135" t="n">
        <v>1</v>
      </c>
      <c r="P135" t="n">
        <v>0</v>
      </c>
      <c r="Q135" t="n">
        <v>2</v>
      </c>
      <c r="R135" s="2" t="inlineStr">
        <is>
          <t>Spillkråka
Västlig hakmossa</t>
        </is>
      </c>
      <c r="S135">
        <f>HYPERLINK("https://klasma.github.io/Logging_1860/artfynd/A 11018-2022 artfynd.xlsx", "A 11018-2022")</f>
        <v/>
      </c>
      <c r="T135">
        <f>HYPERLINK("https://klasma.github.io/Logging_1860/kartor/A 11018-2022 karta.png", "A 11018-2022")</f>
        <v/>
      </c>
      <c r="V135">
        <f>HYPERLINK("https://klasma.github.io/Logging_1860/klagomål/A 11018-2022 FSC-klagomål.docx", "A 11018-2022")</f>
        <v/>
      </c>
      <c r="W135">
        <f>HYPERLINK("https://klasma.github.io/Logging_1860/klagomålsmail/A 11018-2022 FSC-klagomål mail.docx", "A 11018-2022")</f>
        <v/>
      </c>
      <c r="X135">
        <f>HYPERLINK("https://klasma.github.io/Logging_1860/tillsyn/A 11018-2022 tillsynsbegäran.docx", "A 11018-2022")</f>
        <v/>
      </c>
      <c r="Y135">
        <f>HYPERLINK("https://klasma.github.io/Logging_1860/tillsynsmail/A 11018-2022 tillsynsbegäran mail.docx", "A 11018-2022")</f>
        <v/>
      </c>
    </row>
    <row r="136" ht="15" customHeight="1">
      <c r="A136" t="inlineStr">
        <is>
          <t>A 13865-2022</t>
        </is>
      </c>
      <c r="B136" s="1" t="n">
        <v>44649</v>
      </c>
      <c r="C136" s="1" t="n">
        <v>45222</v>
      </c>
      <c r="D136" t="inlineStr">
        <is>
          <t>ÖREBRO LÄN</t>
        </is>
      </c>
      <c r="E136" t="inlineStr">
        <is>
          <t>ASKERSUND</t>
        </is>
      </c>
      <c r="G136" t="n">
        <v>2.5</v>
      </c>
      <c r="H136" t="n">
        <v>1</v>
      </c>
      <c r="I136" t="n">
        <v>1</v>
      </c>
      <c r="J136" t="n">
        <v>0</v>
      </c>
      <c r="K136" t="n">
        <v>0</v>
      </c>
      <c r="L136" t="n">
        <v>0</v>
      </c>
      <c r="M136" t="n">
        <v>0</v>
      </c>
      <c r="N136" t="n">
        <v>0</v>
      </c>
      <c r="O136" t="n">
        <v>0</v>
      </c>
      <c r="P136" t="n">
        <v>0</v>
      </c>
      <c r="Q136" t="n">
        <v>2</v>
      </c>
      <c r="R136" s="2" t="inlineStr">
        <is>
          <t>Grovticka
Mattlummer</t>
        </is>
      </c>
      <c r="S136">
        <f>HYPERLINK("https://klasma.github.io/Logging_1882/artfynd/A 13865-2022 artfynd.xlsx", "A 13865-2022")</f>
        <v/>
      </c>
      <c r="T136">
        <f>HYPERLINK("https://klasma.github.io/Logging_1882/kartor/A 13865-2022 karta.png", "A 13865-2022")</f>
        <v/>
      </c>
      <c r="V136">
        <f>HYPERLINK("https://klasma.github.io/Logging_1882/klagomål/A 13865-2022 FSC-klagomål.docx", "A 13865-2022")</f>
        <v/>
      </c>
      <c r="W136">
        <f>HYPERLINK("https://klasma.github.io/Logging_1882/klagomålsmail/A 13865-2022 FSC-klagomål mail.docx", "A 13865-2022")</f>
        <v/>
      </c>
      <c r="X136">
        <f>HYPERLINK("https://klasma.github.io/Logging_1882/tillsyn/A 13865-2022 tillsynsbegäran.docx", "A 13865-2022")</f>
        <v/>
      </c>
      <c r="Y136">
        <f>HYPERLINK("https://klasma.github.io/Logging_1882/tillsynsmail/A 13865-2022 tillsynsbegäran mail.docx", "A 13865-2022")</f>
        <v/>
      </c>
    </row>
    <row r="137" ht="15" customHeight="1">
      <c r="A137" t="inlineStr">
        <is>
          <t>A 17532-2022</t>
        </is>
      </c>
      <c r="B137" s="1" t="n">
        <v>44679</v>
      </c>
      <c r="C137" s="1" t="n">
        <v>45222</v>
      </c>
      <c r="D137" t="inlineStr">
        <is>
          <t>ÖREBRO LÄN</t>
        </is>
      </c>
      <c r="E137" t="inlineStr">
        <is>
          <t>HALLSBERG</t>
        </is>
      </c>
      <c r="G137" t="n">
        <v>4.7</v>
      </c>
      <c r="H137" t="n">
        <v>1</v>
      </c>
      <c r="I137" t="n">
        <v>1</v>
      </c>
      <c r="J137" t="n">
        <v>0</v>
      </c>
      <c r="K137" t="n">
        <v>0</v>
      </c>
      <c r="L137" t="n">
        <v>0</v>
      </c>
      <c r="M137" t="n">
        <v>0</v>
      </c>
      <c r="N137" t="n">
        <v>0</v>
      </c>
      <c r="O137" t="n">
        <v>0</v>
      </c>
      <c r="P137" t="n">
        <v>0</v>
      </c>
      <c r="Q137" t="n">
        <v>2</v>
      </c>
      <c r="R137" s="2" t="inlineStr">
        <is>
          <t>Svart trolldruva
Blåsippa</t>
        </is>
      </c>
      <c r="S137">
        <f>HYPERLINK("https://klasma.github.io/Logging_1861/artfynd/A 17532-2022 artfynd.xlsx", "A 17532-2022")</f>
        <v/>
      </c>
      <c r="T137">
        <f>HYPERLINK("https://klasma.github.io/Logging_1861/kartor/A 17532-2022 karta.png", "A 17532-2022")</f>
        <v/>
      </c>
      <c r="V137">
        <f>HYPERLINK("https://klasma.github.io/Logging_1861/klagomål/A 17532-2022 FSC-klagomål.docx", "A 17532-2022")</f>
        <v/>
      </c>
      <c r="W137">
        <f>HYPERLINK("https://klasma.github.io/Logging_1861/klagomålsmail/A 17532-2022 FSC-klagomål mail.docx", "A 17532-2022")</f>
        <v/>
      </c>
      <c r="X137">
        <f>HYPERLINK("https://klasma.github.io/Logging_1861/tillsyn/A 17532-2022 tillsynsbegäran.docx", "A 17532-2022")</f>
        <v/>
      </c>
      <c r="Y137">
        <f>HYPERLINK("https://klasma.github.io/Logging_1861/tillsynsmail/A 17532-2022 tillsynsbegäran mail.docx", "A 17532-2022")</f>
        <v/>
      </c>
    </row>
    <row r="138" ht="15" customHeight="1">
      <c r="A138" t="inlineStr">
        <is>
          <t>A 23750-2022</t>
        </is>
      </c>
      <c r="B138" s="1" t="n">
        <v>44722</v>
      </c>
      <c r="C138" s="1" t="n">
        <v>45222</v>
      </c>
      <c r="D138" t="inlineStr">
        <is>
          <t>ÖREBRO LÄN</t>
        </is>
      </c>
      <c r="E138" t="inlineStr">
        <is>
          <t>ASKERSUND</t>
        </is>
      </c>
      <c r="F138" t="inlineStr">
        <is>
          <t>Sveaskog</t>
        </is>
      </c>
      <c r="G138" t="n">
        <v>4.3</v>
      </c>
      <c r="H138" t="n">
        <v>2</v>
      </c>
      <c r="I138" t="n">
        <v>0</v>
      </c>
      <c r="J138" t="n">
        <v>0</v>
      </c>
      <c r="K138" t="n">
        <v>0</v>
      </c>
      <c r="L138" t="n">
        <v>0</v>
      </c>
      <c r="M138" t="n">
        <v>0</v>
      </c>
      <c r="N138" t="n">
        <v>0</v>
      </c>
      <c r="O138" t="n">
        <v>0</v>
      </c>
      <c r="P138" t="n">
        <v>0</v>
      </c>
      <c r="Q138" t="n">
        <v>2</v>
      </c>
      <c r="R138" s="2" t="inlineStr">
        <is>
          <t>Blåsippa
Revlummer</t>
        </is>
      </c>
      <c r="S138">
        <f>HYPERLINK("https://klasma.github.io/Logging_1882/artfynd/A 23750-2022 artfynd.xlsx", "A 23750-2022")</f>
        <v/>
      </c>
      <c r="T138">
        <f>HYPERLINK("https://klasma.github.io/Logging_1882/kartor/A 23750-2022 karta.png", "A 23750-2022")</f>
        <v/>
      </c>
      <c r="V138">
        <f>HYPERLINK("https://klasma.github.io/Logging_1882/klagomål/A 23750-2022 FSC-klagomål.docx", "A 23750-2022")</f>
        <v/>
      </c>
      <c r="W138">
        <f>HYPERLINK("https://klasma.github.io/Logging_1882/klagomålsmail/A 23750-2022 FSC-klagomål mail.docx", "A 23750-2022")</f>
        <v/>
      </c>
      <c r="X138">
        <f>HYPERLINK("https://klasma.github.io/Logging_1882/tillsyn/A 23750-2022 tillsynsbegäran.docx", "A 23750-2022")</f>
        <v/>
      </c>
      <c r="Y138">
        <f>HYPERLINK("https://klasma.github.io/Logging_1882/tillsynsmail/A 23750-2022 tillsynsbegäran mail.docx", "A 23750-2022")</f>
        <v/>
      </c>
    </row>
    <row r="139" ht="15" customHeight="1">
      <c r="A139" t="inlineStr">
        <is>
          <t>A 29478-2022</t>
        </is>
      </c>
      <c r="B139" s="1" t="n">
        <v>44753</v>
      </c>
      <c r="C139" s="1" t="n">
        <v>45222</v>
      </c>
      <c r="D139" t="inlineStr">
        <is>
          <t>ÖREBRO LÄN</t>
        </is>
      </c>
      <c r="E139" t="inlineStr">
        <is>
          <t>ÖREBRO</t>
        </is>
      </c>
      <c r="F139" t="inlineStr">
        <is>
          <t>Kommuner</t>
        </is>
      </c>
      <c r="G139" t="n">
        <v>0.5</v>
      </c>
      <c r="H139" t="n">
        <v>0</v>
      </c>
      <c r="I139" t="n">
        <v>2</v>
      </c>
      <c r="J139" t="n">
        <v>0</v>
      </c>
      <c r="K139" t="n">
        <v>0</v>
      </c>
      <c r="L139" t="n">
        <v>0</v>
      </c>
      <c r="M139" t="n">
        <v>0</v>
      </c>
      <c r="N139" t="n">
        <v>0</v>
      </c>
      <c r="O139" t="n">
        <v>0</v>
      </c>
      <c r="P139" t="n">
        <v>0</v>
      </c>
      <c r="Q139" t="n">
        <v>2</v>
      </c>
      <c r="R139" s="2" t="inlineStr">
        <is>
          <t>Fjällig taggsvamp s.str.
Svavelriska</t>
        </is>
      </c>
      <c r="S139">
        <f>HYPERLINK("https://klasma.github.io/Logging_1880/artfynd/A 29478-2022 artfynd.xlsx", "A 29478-2022")</f>
        <v/>
      </c>
      <c r="T139">
        <f>HYPERLINK("https://klasma.github.io/Logging_1880/kartor/A 29478-2022 karta.png", "A 29478-2022")</f>
        <v/>
      </c>
      <c r="V139">
        <f>HYPERLINK("https://klasma.github.io/Logging_1880/klagomål/A 29478-2022 FSC-klagomål.docx", "A 29478-2022")</f>
        <v/>
      </c>
      <c r="W139">
        <f>HYPERLINK("https://klasma.github.io/Logging_1880/klagomålsmail/A 29478-2022 FSC-klagomål mail.docx", "A 29478-2022")</f>
        <v/>
      </c>
      <c r="X139">
        <f>HYPERLINK("https://klasma.github.io/Logging_1880/tillsyn/A 29478-2022 tillsynsbegäran.docx", "A 29478-2022")</f>
        <v/>
      </c>
      <c r="Y139">
        <f>HYPERLINK("https://klasma.github.io/Logging_1880/tillsynsmail/A 29478-2022 tillsynsbegäran mail.docx", "A 29478-2022")</f>
        <v/>
      </c>
    </row>
    <row r="140" ht="15" customHeight="1">
      <c r="A140" t="inlineStr">
        <is>
          <t>A 33574-2022</t>
        </is>
      </c>
      <c r="B140" s="1" t="n">
        <v>44789</v>
      </c>
      <c r="C140" s="1" t="n">
        <v>45222</v>
      </c>
      <c r="D140" t="inlineStr">
        <is>
          <t>ÖREBRO LÄN</t>
        </is>
      </c>
      <c r="E140" t="inlineStr">
        <is>
          <t>LINDESBERG</t>
        </is>
      </c>
      <c r="G140" t="n">
        <v>11.5</v>
      </c>
      <c r="H140" t="n">
        <v>1</v>
      </c>
      <c r="I140" t="n">
        <v>1</v>
      </c>
      <c r="J140" t="n">
        <v>0</v>
      </c>
      <c r="K140" t="n">
        <v>1</v>
      </c>
      <c r="L140" t="n">
        <v>0</v>
      </c>
      <c r="M140" t="n">
        <v>0</v>
      </c>
      <c r="N140" t="n">
        <v>0</v>
      </c>
      <c r="O140" t="n">
        <v>1</v>
      </c>
      <c r="P140" t="n">
        <v>1</v>
      </c>
      <c r="Q140" t="n">
        <v>2</v>
      </c>
      <c r="R140" s="2" t="inlineStr">
        <is>
          <t>Knärot
Vedticka</t>
        </is>
      </c>
      <c r="S140">
        <f>HYPERLINK("https://klasma.github.io/Logging_1885/artfynd/A 33574-2022 artfynd.xlsx", "A 33574-2022")</f>
        <v/>
      </c>
      <c r="T140">
        <f>HYPERLINK("https://klasma.github.io/Logging_1885/kartor/A 33574-2022 karta.png", "A 33574-2022")</f>
        <v/>
      </c>
      <c r="U140">
        <f>HYPERLINK("https://klasma.github.io/Logging_1885/knärot/A 33574-2022 karta knärot.png", "A 33574-2022")</f>
        <v/>
      </c>
      <c r="V140">
        <f>HYPERLINK("https://klasma.github.io/Logging_1885/klagomål/A 33574-2022 FSC-klagomål.docx", "A 33574-2022")</f>
        <v/>
      </c>
      <c r="W140">
        <f>HYPERLINK("https://klasma.github.io/Logging_1885/klagomålsmail/A 33574-2022 FSC-klagomål mail.docx", "A 33574-2022")</f>
        <v/>
      </c>
      <c r="X140">
        <f>HYPERLINK("https://klasma.github.io/Logging_1885/tillsyn/A 33574-2022 tillsynsbegäran.docx", "A 33574-2022")</f>
        <v/>
      </c>
      <c r="Y140">
        <f>HYPERLINK("https://klasma.github.io/Logging_1885/tillsynsmail/A 33574-2022 tillsynsbegäran mail.docx", "A 33574-2022")</f>
        <v/>
      </c>
    </row>
    <row r="141" ht="15" customHeight="1">
      <c r="A141" t="inlineStr">
        <is>
          <t>A 37012-2022</t>
        </is>
      </c>
      <c r="B141" s="1" t="n">
        <v>44806</v>
      </c>
      <c r="C141" s="1" t="n">
        <v>45222</v>
      </c>
      <c r="D141" t="inlineStr">
        <is>
          <t>ÖREBRO LÄN</t>
        </is>
      </c>
      <c r="E141" t="inlineStr">
        <is>
          <t>LEKEBERG</t>
        </is>
      </c>
      <c r="G141" t="n">
        <v>3.9</v>
      </c>
      <c r="H141" t="n">
        <v>2</v>
      </c>
      <c r="I141" t="n">
        <v>0</v>
      </c>
      <c r="J141" t="n">
        <v>1</v>
      </c>
      <c r="K141" t="n">
        <v>1</v>
      </c>
      <c r="L141" t="n">
        <v>0</v>
      </c>
      <c r="M141" t="n">
        <v>0</v>
      </c>
      <c r="N141" t="n">
        <v>0</v>
      </c>
      <c r="O141" t="n">
        <v>2</v>
      </c>
      <c r="P141" t="n">
        <v>1</v>
      </c>
      <c r="Q141" t="n">
        <v>2</v>
      </c>
      <c r="R141" s="2" t="inlineStr">
        <is>
          <t>Knärot
Spillkråka</t>
        </is>
      </c>
      <c r="S141">
        <f>HYPERLINK("https://klasma.github.io/Logging_1814/artfynd/A 37012-2022 artfynd.xlsx", "A 37012-2022")</f>
        <v/>
      </c>
      <c r="T141">
        <f>HYPERLINK("https://klasma.github.io/Logging_1814/kartor/A 37012-2022 karta.png", "A 37012-2022")</f>
        <v/>
      </c>
      <c r="U141">
        <f>HYPERLINK("https://klasma.github.io/Logging_1814/knärot/A 37012-2022 karta knärot.png", "A 37012-2022")</f>
        <v/>
      </c>
      <c r="V141">
        <f>HYPERLINK("https://klasma.github.io/Logging_1814/klagomål/A 37012-2022 FSC-klagomål.docx", "A 37012-2022")</f>
        <v/>
      </c>
      <c r="W141">
        <f>HYPERLINK("https://klasma.github.io/Logging_1814/klagomålsmail/A 37012-2022 FSC-klagomål mail.docx", "A 37012-2022")</f>
        <v/>
      </c>
      <c r="X141">
        <f>HYPERLINK("https://klasma.github.io/Logging_1814/tillsyn/A 37012-2022 tillsynsbegäran.docx", "A 37012-2022")</f>
        <v/>
      </c>
      <c r="Y141">
        <f>HYPERLINK("https://klasma.github.io/Logging_1814/tillsynsmail/A 37012-2022 tillsynsbegäran mail.docx", "A 37012-2022")</f>
        <v/>
      </c>
    </row>
    <row r="142" ht="15" customHeight="1">
      <c r="A142" t="inlineStr">
        <is>
          <t>A 41078-2022</t>
        </is>
      </c>
      <c r="B142" s="1" t="n">
        <v>44825</v>
      </c>
      <c r="C142" s="1" t="n">
        <v>45222</v>
      </c>
      <c r="D142" t="inlineStr">
        <is>
          <t>ÖREBRO LÄN</t>
        </is>
      </c>
      <c r="E142" t="inlineStr">
        <is>
          <t>LJUSNARSBERG</t>
        </is>
      </c>
      <c r="F142" t="inlineStr">
        <is>
          <t>Bergvik skog väst AB</t>
        </is>
      </c>
      <c r="G142" t="n">
        <v>24.1</v>
      </c>
      <c r="H142" t="n">
        <v>0</v>
      </c>
      <c r="I142" t="n">
        <v>1</v>
      </c>
      <c r="J142" t="n">
        <v>0</v>
      </c>
      <c r="K142" t="n">
        <v>1</v>
      </c>
      <c r="L142" t="n">
        <v>0</v>
      </c>
      <c r="M142" t="n">
        <v>0</v>
      </c>
      <c r="N142" t="n">
        <v>0</v>
      </c>
      <c r="O142" t="n">
        <v>1</v>
      </c>
      <c r="P142" t="n">
        <v>1</v>
      </c>
      <c r="Q142" t="n">
        <v>2</v>
      </c>
      <c r="R142" s="2" t="inlineStr">
        <is>
          <t>Tajgafältmätare
Grönpyrola</t>
        </is>
      </c>
      <c r="S142">
        <f>HYPERLINK("https://klasma.github.io/Logging_1864/artfynd/A 41078-2022 artfynd.xlsx", "A 41078-2022")</f>
        <v/>
      </c>
      <c r="T142">
        <f>HYPERLINK("https://klasma.github.io/Logging_1864/kartor/A 41078-2022 karta.png", "A 41078-2022")</f>
        <v/>
      </c>
      <c r="V142">
        <f>HYPERLINK("https://klasma.github.io/Logging_1864/klagomål/A 41078-2022 FSC-klagomål.docx", "A 41078-2022")</f>
        <v/>
      </c>
      <c r="W142">
        <f>HYPERLINK("https://klasma.github.io/Logging_1864/klagomålsmail/A 41078-2022 FSC-klagomål mail.docx", "A 41078-2022")</f>
        <v/>
      </c>
      <c r="X142">
        <f>HYPERLINK("https://klasma.github.io/Logging_1864/tillsyn/A 41078-2022 tillsynsbegäran.docx", "A 41078-2022")</f>
        <v/>
      </c>
      <c r="Y142">
        <f>HYPERLINK("https://klasma.github.io/Logging_1864/tillsynsmail/A 41078-2022 tillsynsbegäran mail.docx", "A 41078-2022")</f>
        <v/>
      </c>
    </row>
    <row r="143" ht="15" customHeight="1">
      <c r="A143" t="inlineStr">
        <is>
          <t>A 11504-2023</t>
        </is>
      </c>
      <c r="B143" s="1" t="n">
        <v>44993</v>
      </c>
      <c r="C143" s="1" t="n">
        <v>45222</v>
      </c>
      <c r="D143" t="inlineStr">
        <is>
          <t>ÖREBRO LÄN</t>
        </is>
      </c>
      <c r="E143" t="inlineStr">
        <is>
          <t>ASKERSUND</t>
        </is>
      </c>
      <c r="G143" t="n">
        <v>11.3</v>
      </c>
      <c r="H143" t="n">
        <v>0</v>
      </c>
      <c r="I143" t="n">
        <v>2</v>
      </c>
      <c r="J143" t="n">
        <v>0</v>
      </c>
      <c r="K143" t="n">
        <v>0</v>
      </c>
      <c r="L143" t="n">
        <v>0</v>
      </c>
      <c r="M143" t="n">
        <v>0</v>
      </c>
      <c r="N143" t="n">
        <v>0</v>
      </c>
      <c r="O143" t="n">
        <v>0</v>
      </c>
      <c r="P143" t="n">
        <v>0</v>
      </c>
      <c r="Q143" t="n">
        <v>2</v>
      </c>
      <c r="R143" s="2" t="inlineStr">
        <is>
          <t>Västlig hakmossa
Vågbandad barkbock</t>
        </is>
      </c>
      <c r="S143">
        <f>HYPERLINK("https://klasma.github.io/Logging_1882/artfynd/A 11504-2023 artfynd.xlsx", "A 11504-2023")</f>
        <v/>
      </c>
      <c r="T143">
        <f>HYPERLINK("https://klasma.github.io/Logging_1882/kartor/A 11504-2023 karta.png", "A 11504-2023")</f>
        <v/>
      </c>
      <c r="V143">
        <f>HYPERLINK("https://klasma.github.io/Logging_1882/klagomål/A 11504-2023 FSC-klagomål.docx", "A 11504-2023")</f>
        <v/>
      </c>
      <c r="W143">
        <f>HYPERLINK("https://klasma.github.io/Logging_1882/klagomålsmail/A 11504-2023 FSC-klagomål mail.docx", "A 11504-2023")</f>
        <v/>
      </c>
      <c r="X143">
        <f>HYPERLINK("https://klasma.github.io/Logging_1882/tillsyn/A 11504-2023 tillsynsbegäran.docx", "A 11504-2023")</f>
        <v/>
      </c>
      <c r="Y143">
        <f>HYPERLINK("https://klasma.github.io/Logging_1882/tillsynsmail/A 11504-2023 tillsynsbegäran mail.docx", "A 11504-2023")</f>
        <v/>
      </c>
    </row>
    <row r="144" ht="15" customHeight="1">
      <c r="A144" t="inlineStr">
        <is>
          <t>A 15687-2023</t>
        </is>
      </c>
      <c r="B144" s="1" t="n">
        <v>45021</v>
      </c>
      <c r="C144" s="1" t="n">
        <v>45222</v>
      </c>
      <c r="D144" t="inlineStr">
        <is>
          <t>ÖREBRO LÄN</t>
        </is>
      </c>
      <c r="E144" t="inlineStr">
        <is>
          <t>LINDESBERG</t>
        </is>
      </c>
      <c r="G144" t="n">
        <v>1.4</v>
      </c>
      <c r="H144" t="n">
        <v>1</v>
      </c>
      <c r="I144" t="n">
        <v>2</v>
      </c>
      <c r="J144" t="n">
        <v>0</v>
      </c>
      <c r="K144" t="n">
        <v>0</v>
      </c>
      <c r="L144" t="n">
        <v>0</v>
      </c>
      <c r="M144" t="n">
        <v>0</v>
      </c>
      <c r="N144" t="n">
        <v>0</v>
      </c>
      <c r="O144" t="n">
        <v>0</v>
      </c>
      <c r="P144" t="n">
        <v>0</v>
      </c>
      <c r="Q144" t="n">
        <v>2</v>
      </c>
      <c r="R144" s="2" t="inlineStr">
        <is>
          <t>Rödgul trumpetsvamp
Tvåblad</t>
        </is>
      </c>
      <c r="S144">
        <f>HYPERLINK("https://klasma.github.io/Logging_1885/artfynd/A 15687-2023 artfynd.xlsx", "A 15687-2023")</f>
        <v/>
      </c>
      <c r="T144">
        <f>HYPERLINK("https://klasma.github.io/Logging_1885/kartor/A 15687-2023 karta.png", "A 15687-2023")</f>
        <v/>
      </c>
      <c r="V144">
        <f>HYPERLINK("https://klasma.github.io/Logging_1885/klagomål/A 15687-2023 FSC-klagomål.docx", "A 15687-2023")</f>
        <v/>
      </c>
      <c r="W144">
        <f>HYPERLINK("https://klasma.github.io/Logging_1885/klagomålsmail/A 15687-2023 FSC-klagomål mail.docx", "A 15687-2023")</f>
        <v/>
      </c>
      <c r="X144">
        <f>HYPERLINK("https://klasma.github.io/Logging_1885/tillsyn/A 15687-2023 tillsynsbegäran.docx", "A 15687-2023")</f>
        <v/>
      </c>
      <c r="Y144">
        <f>HYPERLINK("https://klasma.github.io/Logging_1885/tillsynsmail/A 15687-2023 tillsynsbegäran mail.docx", "A 15687-2023")</f>
        <v/>
      </c>
    </row>
    <row r="145" ht="15" customHeight="1">
      <c r="A145" t="inlineStr">
        <is>
          <t>A 17872-2023</t>
        </is>
      </c>
      <c r="B145" s="1" t="n">
        <v>45038</v>
      </c>
      <c r="C145" s="1" t="n">
        <v>45222</v>
      </c>
      <c r="D145" t="inlineStr">
        <is>
          <t>ÖREBRO LÄN</t>
        </is>
      </c>
      <c r="E145" t="inlineStr">
        <is>
          <t>ASKERSUND</t>
        </is>
      </c>
      <c r="F145" t="inlineStr">
        <is>
          <t>Sveaskog</t>
        </is>
      </c>
      <c r="G145" t="n">
        <v>9.4</v>
      </c>
      <c r="H145" t="n">
        <v>1</v>
      </c>
      <c r="I145" t="n">
        <v>0</v>
      </c>
      <c r="J145" t="n">
        <v>1</v>
      </c>
      <c r="K145" t="n">
        <v>0</v>
      </c>
      <c r="L145" t="n">
        <v>0</v>
      </c>
      <c r="M145" t="n">
        <v>0</v>
      </c>
      <c r="N145" t="n">
        <v>0</v>
      </c>
      <c r="O145" t="n">
        <v>1</v>
      </c>
      <c r="P145" t="n">
        <v>0</v>
      </c>
      <c r="Q145" t="n">
        <v>2</v>
      </c>
      <c r="R145" s="2" t="inlineStr">
        <is>
          <t>Svinrot
Fläcknycklar</t>
        </is>
      </c>
      <c r="S145">
        <f>HYPERLINK("https://klasma.github.io/Logging_1882/artfynd/A 17872-2023 artfynd.xlsx", "A 17872-2023")</f>
        <v/>
      </c>
      <c r="T145">
        <f>HYPERLINK("https://klasma.github.io/Logging_1882/kartor/A 17872-2023 karta.png", "A 17872-2023")</f>
        <v/>
      </c>
      <c r="V145">
        <f>HYPERLINK("https://klasma.github.io/Logging_1882/klagomål/A 17872-2023 FSC-klagomål.docx", "A 17872-2023")</f>
        <v/>
      </c>
      <c r="W145">
        <f>HYPERLINK("https://klasma.github.io/Logging_1882/klagomålsmail/A 17872-2023 FSC-klagomål mail.docx", "A 17872-2023")</f>
        <v/>
      </c>
      <c r="X145">
        <f>HYPERLINK("https://klasma.github.io/Logging_1882/tillsyn/A 17872-2023 tillsynsbegäran.docx", "A 17872-2023")</f>
        <v/>
      </c>
      <c r="Y145">
        <f>HYPERLINK("https://klasma.github.io/Logging_1882/tillsynsmail/A 17872-2023 tillsynsbegäran mail.docx", "A 17872-2023")</f>
        <v/>
      </c>
    </row>
    <row r="146" ht="15" customHeight="1">
      <c r="A146" t="inlineStr">
        <is>
          <t>A 20540-2023</t>
        </is>
      </c>
      <c r="B146" s="1" t="n">
        <v>45057</v>
      </c>
      <c r="C146" s="1" t="n">
        <v>45222</v>
      </c>
      <c r="D146" t="inlineStr">
        <is>
          <t>ÖREBRO LÄN</t>
        </is>
      </c>
      <c r="E146" t="inlineStr">
        <is>
          <t>HALLSBERG</t>
        </is>
      </c>
      <c r="F146" t="inlineStr">
        <is>
          <t>Allmännings- och besparingsskogar</t>
        </is>
      </c>
      <c r="G146" t="n">
        <v>3</v>
      </c>
      <c r="H146" t="n">
        <v>0</v>
      </c>
      <c r="I146" t="n">
        <v>2</v>
      </c>
      <c r="J146" t="n">
        <v>0</v>
      </c>
      <c r="K146" t="n">
        <v>0</v>
      </c>
      <c r="L146" t="n">
        <v>0</v>
      </c>
      <c r="M146" t="n">
        <v>0</v>
      </c>
      <c r="N146" t="n">
        <v>0</v>
      </c>
      <c r="O146" t="n">
        <v>0</v>
      </c>
      <c r="P146" t="n">
        <v>0</v>
      </c>
      <c r="Q146" t="n">
        <v>2</v>
      </c>
      <c r="R146" s="2" t="inlineStr">
        <is>
          <t>Brandticka
Tallfingersvamp</t>
        </is>
      </c>
      <c r="S146">
        <f>HYPERLINK("https://klasma.github.io/Logging_1861/artfynd/A 20540-2023 artfynd.xlsx", "A 20540-2023")</f>
        <v/>
      </c>
      <c r="T146">
        <f>HYPERLINK("https://klasma.github.io/Logging_1861/kartor/A 20540-2023 karta.png", "A 20540-2023")</f>
        <v/>
      </c>
      <c r="V146">
        <f>HYPERLINK("https://klasma.github.io/Logging_1861/klagomål/A 20540-2023 FSC-klagomål.docx", "A 20540-2023")</f>
        <v/>
      </c>
      <c r="W146">
        <f>HYPERLINK("https://klasma.github.io/Logging_1861/klagomålsmail/A 20540-2023 FSC-klagomål mail.docx", "A 20540-2023")</f>
        <v/>
      </c>
      <c r="X146">
        <f>HYPERLINK("https://klasma.github.io/Logging_1861/tillsyn/A 20540-2023 tillsynsbegäran.docx", "A 20540-2023")</f>
        <v/>
      </c>
      <c r="Y146">
        <f>HYPERLINK("https://klasma.github.io/Logging_1861/tillsynsmail/A 20540-2023 tillsynsbegäran mail.docx", "A 20540-2023")</f>
        <v/>
      </c>
    </row>
    <row r="147" ht="15" customHeight="1">
      <c r="A147" t="inlineStr">
        <is>
          <t>A 31967-2023</t>
        </is>
      </c>
      <c r="B147" s="1" t="n">
        <v>45107</v>
      </c>
      <c r="C147" s="1" t="n">
        <v>45222</v>
      </c>
      <c r="D147" t="inlineStr">
        <is>
          <t>ÖREBRO LÄN</t>
        </is>
      </c>
      <c r="E147" t="inlineStr">
        <is>
          <t>ASKERSUND</t>
        </is>
      </c>
      <c r="G147" t="n">
        <v>1.2</v>
      </c>
      <c r="H147" t="n">
        <v>0</v>
      </c>
      <c r="I147" t="n">
        <v>2</v>
      </c>
      <c r="J147" t="n">
        <v>0</v>
      </c>
      <c r="K147" t="n">
        <v>0</v>
      </c>
      <c r="L147" t="n">
        <v>0</v>
      </c>
      <c r="M147" t="n">
        <v>0</v>
      </c>
      <c r="N147" t="n">
        <v>0</v>
      </c>
      <c r="O147" t="n">
        <v>0</v>
      </c>
      <c r="P147" t="n">
        <v>0</v>
      </c>
      <c r="Q147" t="n">
        <v>2</v>
      </c>
      <c r="R147" s="2" t="inlineStr">
        <is>
          <t>Blåsfliksmossa
Trubbfjädermossa</t>
        </is>
      </c>
      <c r="S147">
        <f>HYPERLINK("https://klasma.github.io/Logging_1882/artfynd/A 31967-2023 artfynd.xlsx", "A 31967-2023")</f>
        <v/>
      </c>
      <c r="T147">
        <f>HYPERLINK("https://klasma.github.io/Logging_1882/kartor/A 31967-2023 karta.png", "A 31967-2023")</f>
        <v/>
      </c>
      <c r="V147">
        <f>HYPERLINK("https://klasma.github.io/Logging_1882/klagomål/A 31967-2023 FSC-klagomål.docx", "A 31967-2023")</f>
        <v/>
      </c>
      <c r="W147">
        <f>HYPERLINK("https://klasma.github.io/Logging_1882/klagomålsmail/A 31967-2023 FSC-klagomål mail.docx", "A 31967-2023")</f>
        <v/>
      </c>
      <c r="X147">
        <f>HYPERLINK("https://klasma.github.io/Logging_1882/tillsyn/A 31967-2023 tillsynsbegäran.docx", "A 31967-2023")</f>
        <v/>
      </c>
      <c r="Y147">
        <f>HYPERLINK("https://klasma.github.io/Logging_1882/tillsynsmail/A 31967-2023 tillsynsbegäran mail.docx", "A 31967-2023")</f>
        <v/>
      </c>
    </row>
    <row r="148" ht="15" customHeight="1">
      <c r="A148" t="inlineStr">
        <is>
          <t>A 30360-2023</t>
        </is>
      </c>
      <c r="B148" s="1" t="n">
        <v>45111</v>
      </c>
      <c r="C148" s="1" t="n">
        <v>45222</v>
      </c>
      <c r="D148" t="inlineStr">
        <is>
          <t>ÖREBRO LÄN</t>
        </is>
      </c>
      <c r="E148" t="inlineStr">
        <is>
          <t>LJUSNARSBERG</t>
        </is>
      </c>
      <c r="G148" t="n">
        <v>20.1</v>
      </c>
      <c r="H148" t="n">
        <v>0</v>
      </c>
      <c r="I148" t="n">
        <v>1</v>
      </c>
      <c r="J148" t="n">
        <v>1</v>
      </c>
      <c r="K148" t="n">
        <v>0</v>
      </c>
      <c r="L148" t="n">
        <v>0</v>
      </c>
      <c r="M148" t="n">
        <v>0</v>
      </c>
      <c r="N148" t="n">
        <v>0</v>
      </c>
      <c r="O148" t="n">
        <v>1</v>
      </c>
      <c r="P148" t="n">
        <v>0</v>
      </c>
      <c r="Q148" t="n">
        <v>2</v>
      </c>
      <c r="R148" s="2" t="inlineStr">
        <is>
          <t>Garnlav
Vedticka</t>
        </is>
      </c>
      <c r="S148">
        <f>HYPERLINK("https://klasma.github.io/Logging_1864/artfynd/A 30360-2023 artfynd.xlsx", "A 30360-2023")</f>
        <v/>
      </c>
      <c r="T148">
        <f>HYPERLINK("https://klasma.github.io/Logging_1864/kartor/A 30360-2023 karta.png", "A 30360-2023")</f>
        <v/>
      </c>
      <c r="V148">
        <f>HYPERLINK("https://klasma.github.io/Logging_1864/klagomål/A 30360-2023 FSC-klagomål.docx", "A 30360-2023")</f>
        <v/>
      </c>
      <c r="W148">
        <f>HYPERLINK("https://klasma.github.io/Logging_1864/klagomålsmail/A 30360-2023 FSC-klagomål mail.docx", "A 30360-2023")</f>
        <v/>
      </c>
      <c r="X148">
        <f>HYPERLINK("https://klasma.github.io/Logging_1864/tillsyn/A 30360-2023 tillsynsbegäran.docx", "A 30360-2023")</f>
        <v/>
      </c>
      <c r="Y148">
        <f>HYPERLINK("https://klasma.github.io/Logging_1864/tillsynsmail/A 30360-2023 tillsynsbegäran mail.docx", "A 30360-2023")</f>
        <v/>
      </c>
    </row>
    <row r="149" ht="15" customHeight="1">
      <c r="A149" t="inlineStr">
        <is>
          <t>A 35946-2023</t>
        </is>
      </c>
      <c r="B149" s="1" t="n">
        <v>45148</v>
      </c>
      <c r="C149" s="1" t="n">
        <v>45222</v>
      </c>
      <c r="D149" t="inlineStr">
        <is>
          <t>ÖREBRO LÄN</t>
        </is>
      </c>
      <c r="E149" t="inlineStr">
        <is>
          <t>HALLSBERG</t>
        </is>
      </c>
      <c r="G149" t="n">
        <v>1.6</v>
      </c>
      <c r="H149" t="n">
        <v>1</v>
      </c>
      <c r="I149" t="n">
        <v>0</v>
      </c>
      <c r="J149" t="n">
        <v>0</v>
      </c>
      <c r="K149" t="n">
        <v>0</v>
      </c>
      <c r="L149" t="n">
        <v>2</v>
      </c>
      <c r="M149" t="n">
        <v>0</v>
      </c>
      <c r="N149" t="n">
        <v>0</v>
      </c>
      <c r="O149" t="n">
        <v>2</v>
      </c>
      <c r="P149" t="n">
        <v>2</v>
      </c>
      <c r="Q149" t="n">
        <v>2</v>
      </c>
      <c r="R149" s="2" t="inlineStr">
        <is>
          <t>Ask
Tistelsnyltrot</t>
        </is>
      </c>
      <c r="S149">
        <f>HYPERLINK("https://klasma.github.io/Logging_1861/artfynd/A 35946-2023 artfynd.xlsx", "A 35946-2023")</f>
        <v/>
      </c>
      <c r="T149">
        <f>HYPERLINK("https://klasma.github.io/Logging_1861/kartor/A 35946-2023 karta.png", "A 35946-2023")</f>
        <v/>
      </c>
      <c r="V149">
        <f>HYPERLINK("https://klasma.github.io/Logging_1861/klagomål/A 35946-2023 FSC-klagomål.docx", "A 35946-2023")</f>
        <v/>
      </c>
      <c r="W149">
        <f>HYPERLINK("https://klasma.github.io/Logging_1861/klagomålsmail/A 35946-2023 FSC-klagomål mail.docx", "A 35946-2023")</f>
        <v/>
      </c>
      <c r="X149">
        <f>HYPERLINK("https://klasma.github.io/Logging_1861/tillsyn/A 35946-2023 tillsynsbegäran.docx", "A 35946-2023")</f>
        <v/>
      </c>
      <c r="Y149">
        <f>HYPERLINK("https://klasma.github.io/Logging_1861/tillsynsmail/A 35946-2023 tillsynsbegäran mail.docx", "A 35946-2023")</f>
        <v/>
      </c>
    </row>
    <row r="150" ht="15" customHeight="1">
      <c r="A150" t="inlineStr">
        <is>
          <t>A 49157-2023</t>
        </is>
      </c>
      <c r="B150" s="1" t="n">
        <v>45210</v>
      </c>
      <c r="C150" s="1" t="n">
        <v>45222</v>
      </c>
      <c r="D150" t="inlineStr">
        <is>
          <t>ÖREBRO LÄN</t>
        </is>
      </c>
      <c r="E150" t="inlineStr">
        <is>
          <t>LJUSNARSBERG</t>
        </is>
      </c>
      <c r="G150" t="n">
        <v>3</v>
      </c>
      <c r="H150" t="n">
        <v>0</v>
      </c>
      <c r="I150" t="n">
        <v>2</v>
      </c>
      <c r="J150" t="n">
        <v>0</v>
      </c>
      <c r="K150" t="n">
        <v>0</v>
      </c>
      <c r="L150" t="n">
        <v>0</v>
      </c>
      <c r="M150" t="n">
        <v>0</v>
      </c>
      <c r="N150" t="n">
        <v>0</v>
      </c>
      <c r="O150" t="n">
        <v>0</v>
      </c>
      <c r="P150" t="n">
        <v>0</v>
      </c>
      <c r="Q150" t="n">
        <v>2</v>
      </c>
      <c r="R150" s="2" t="inlineStr">
        <is>
          <t>Rödgul trumpetsvamp
Skogshakmossa</t>
        </is>
      </c>
      <c r="S150">
        <f>HYPERLINK("https://klasma.github.io/Logging_1864/artfynd/A 49157-2023 artfynd.xlsx", "A 49157-2023")</f>
        <v/>
      </c>
      <c r="T150">
        <f>HYPERLINK("https://klasma.github.io/Logging_1864/kartor/A 49157-2023 karta.png", "A 49157-2023")</f>
        <v/>
      </c>
      <c r="V150">
        <f>HYPERLINK("https://klasma.github.io/Logging_1864/klagomål/A 49157-2023 FSC-klagomål.docx", "A 49157-2023")</f>
        <v/>
      </c>
      <c r="W150">
        <f>HYPERLINK("https://klasma.github.io/Logging_1864/klagomålsmail/A 49157-2023 FSC-klagomål mail.docx", "A 49157-2023")</f>
        <v/>
      </c>
      <c r="X150">
        <f>HYPERLINK("https://klasma.github.io/Logging_1864/tillsyn/A 49157-2023 tillsynsbegäran.docx", "A 49157-2023")</f>
        <v/>
      </c>
      <c r="Y150">
        <f>HYPERLINK("https://klasma.github.io/Logging_1864/tillsynsmail/A 49157-2023 tillsynsbegäran mail.docx", "A 49157-2023")</f>
        <v/>
      </c>
    </row>
    <row r="151" ht="15" customHeight="1">
      <c r="A151" t="inlineStr">
        <is>
          <t>A 44445-2018</t>
        </is>
      </c>
      <c r="B151" s="1" t="n">
        <v>43356</v>
      </c>
      <c r="C151" s="1" t="n">
        <v>45222</v>
      </c>
      <c r="D151" t="inlineStr">
        <is>
          <t>ÖREBRO LÄN</t>
        </is>
      </c>
      <c r="E151" t="inlineStr">
        <is>
          <t>ÖREBRO</t>
        </is>
      </c>
      <c r="G151" t="n">
        <v>2.4</v>
      </c>
      <c r="H151" t="n">
        <v>0</v>
      </c>
      <c r="I151" t="n">
        <v>0</v>
      </c>
      <c r="J151" t="n">
        <v>0</v>
      </c>
      <c r="K151" t="n">
        <v>0</v>
      </c>
      <c r="L151" t="n">
        <v>1</v>
      </c>
      <c r="M151" t="n">
        <v>0</v>
      </c>
      <c r="N151" t="n">
        <v>0</v>
      </c>
      <c r="O151" t="n">
        <v>1</v>
      </c>
      <c r="P151" t="n">
        <v>1</v>
      </c>
      <c r="Q151" t="n">
        <v>1</v>
      </c>
      <c r="R151" s="2" t="inlineStr">
        <is>
          <t>Ask</t>
        </is>
      </c>
      <c r="S151">
        <f>HYPERLINK("https://klasma.github.io/Logging_1880/artfynd/A 44445-2018 artfynd.xlsx", "A 44445-2018")</f>
        <v/>
      </c>
      <c r="T151">
        <f>HYPERLINK("https://klasma.github.io/Logging_1880/kartor/A 44445-2018 karta.png", "A 44445-2018")</f>
        <v/>
      </c>
      <c r="V151">
        <f>HYPERLINK("https://klasma.github.io/Logging_1880/klagomål/A 44445-2018 FSC-klagomål.docx", "A 44445-2018")</f>
        <v/>
      </c>
      <c r="W151">
        <f>HYPERLINK("https://klasma.github.io/Logging_1880/klagomålsmail/A 44445-2018 FSC-klagomål mail.docx", "A 44445-2018")</f>
        <v/>
      </c>
      <c r="X151">
        <f>HYPERLINK("https://klasma.github.io/Logging_1880/tillsyn/A 44445-2018 tillsynsbegäran.docx", "A 44445-2018")</f>
        <v/>
      </c>
      <c r="Y151">
        <f>HYPERLINK("https://klasma.github.io/Logging_1880/tillsynsmail/A 44445-2018 tillsynsbegäran mail.docx", "A 44445-2018")</f>
        <v/>
      </c>
    </row>
    <row r="152" ht="15" customHeight="1">
      <c r="A152" t="inlineStr">
        <is>
          <t>A 46523-2018</t>
        </is>
      </c>
      <c r="B152" s="1" t="n">
        <v>43368</v>
      </c>
      <c r="C152" s="1" t="n">
        <v>45222</v>
      </c>
      <c r="D152" t="inlineStr">
        <is>
          <t>ÖREBRO LÄN</t>
        </is>
      </c>
      <c r="E152" t="inlineStr">
        <is>
          <t>LEKEBERG</t>
        </is>
      </c>
      <c r="F152" t="inlineStr">
        <is>
          <t>Sveaskog</t>
        </is>
      </c>
      <c r="G152" t="n">
        <v>10.3</v>
      </c>
      <c r="H152" t="n">
        <v>1</v>
      </c>
      <c r="I152" t="n">
        <v>1</v>
      </c>
      <c r="J152" t="n">
        <v>0</v>
      </c>
      <c r="K152" t="n">
        <v>0</v>
      </c>
      <c r="L152" t="n">
        <v>0</v>
      </c>
      <c r="M152" t="n">
        <v>0</v>
      </c>
      <c r="N152" t="n">
        <v>0</v>
      </c>
      <c r="O152" t="n">
        <v>0</v>
      </c>
      <c r="P152" t="n">
        <v>0</v>
      </c>
      <c r="Q152" t="n">
        <v>1</v>
      </c>
      <c r="R152" s="2" t="inlineStr">
        <is>
          <t>Korallrot</t>
        </is>
      </c>
      <c r="S152">
        <f>HYPERLINK("https://klasma.github.io/Logging_1814/artfynd/A 46523-2018 artfynd.xlsx", "A 46523-2018")</f>
        <v/>
      </c>
      <c r="T152">
        <f>HYPERLINK("https://klasma.github.io/Logging_1814/kartor/A 46523-2018 karta.png", "A 46523-2018")</f>
        <v/>
      </c>
      <c r="V152">
        <f>HYPERLINK("https://klasma.github.io/Logging_1814/klagomål/A 46523-2018 FSC-klagomål.docx", "A 46523-2018")</f>
        <v/>
      </c>
      <c r="W152">
        <f>HYPERLINK("https://klasma.github.io/Logging_1814/klagomålsmail/A 46523-2018 FSC-klagomål mail.docx", "A 46523-2018")</f>
        <v/>
      </c>
      <c r="X152">
        <f>HYPERLINK("https://klasma.github.io/Logging_1814/tillsyn/A 46523-2018 tillsynsbegäran.docx", "A 46523-2018")</f>
        <v/>
      </c>
      <c r="Y152">
        <f>HYPERLINK("https://klasma.github.io/Logging_1814/tillsynsmail/A 46523-2018 tillsynsbegäran mail.docx", "A 46523-2018")</f>
        <v/>
      </c>
    </row>
    <row r="153" ht="15" customHeight="1">
      <c r="A153" t="inlineStr">
        <is>
          <t>A 52696-2018</t>
        </is>
      </c>
      <c r="B153" s="1" t="n">
        <v>43384</v>
      </c>
      <c r="C153" s="1" t="n">
        <v>45222</v>
      </c>
      <c r="D153" t="inlineStr">
        <is>
          <t>ÖREBRO LÄN</t>
        </is>
      </c>
      <c r="E153" t="inlineStr">
        <is>
          <t>HALLSBERG</t>
        </is>
      </c>
      <c r="F153" t="inlineStr">
        <is>
          <t>Sveaskog</t>
        </is>
      </c>
      <c r="G153" t="n">
        <v>1.8</v>
      </c>
      <c r="H153" t="n">
        <v>1</v>
      </c>
      <c r="I153" t="n">
        <v>0</v>
      </c>
      <c r="J153" t="n">
        <v>0</v>
      </c>
      <c r="K153" t="n">
        <v>0</v>
      </c>
      <c r="L153" t="n">
        <v>0</v>
      </c>
      <c r="M153" t="n">
        <v>0</v>
      </c>
      <c r="N153" t="n">
        <v>0</v>
      </c>
      <c r="O153" t="n">
        <v>0</v>
      </c>
      <c r="P153" t="n">
        <v>0</v>
      </c>
      <c r="Q153" t="n">
        <v>1</v>
      </c>
      <c r="R153" s="2" t="inlineStr">
        <is>
          <t>Grönvit nattviol</t>
        </is>
      </c>
      <c r="S153">
        <f>HYPERLINK("https://klasma.github.io/Logging_1861/artfynd/A 52696-2018 artfynd.xlsx", "A 52696-2018")</f>
        <v/>
      </c>
      <c r="T153">
        <f>HYPERLINK("https://klasma.github.io/Logging_1861/kartor/A 52696-2018 karta.png", "A 52696-2018")</f>
        <v/>
      </c>
      <c r="V153">
        <f>HYPERLINK("https://klasma.github.io/Logging_1861/klagomål/A 52696-2018 FSC-klagomål.docx", "A 52696-2018")</f>
        <v/>
      </c>
      <c r="W153">
        <f>HYPERLINK("https://klasma.github.io/Logging_1861/klagomålsmail/A 52696-2018 FSC-klagomål mail.docx", "A 52696-2018")</f>
        <v/>
      </c>
      <c r="X153">
        <f>HYPERLINK("https://klasma.github.io/Logging_1861/tillsyn/A 52696-2018 tillsynsbegäran.docx", "A 52696-2018")</f>
        <v/>
      </c>
      <c r="Y153">
        <f>HYPERLINK("https://klasma.github.io/Logging_1861/tillsynsmail/A 52696-2018 tillsynsbegäran mail.docx", "A 52696-2018")</f>
        <v/>
      </c>
    </row>
    <row r="154" ht="15" customHeight="1">
      <c r="A154" t="inlineStr">
        <is>
          <t>A 53502-2018</t>
        </is>
      </c>
      <c r="B154" s="1" t="n">
        <v>43385</v>
      </c>
      <c r="C154" s="1" t="n">
        <v>45222</v>
      </c>
      <c r="D154" t="inlineStr">
        <is>
          <t>ÖREBRO LÄN</t>
        </is>
      </c>
      <c r="E154" t="inlineStr">
        <is>
          <t>ASKERSUND</t>
        </is>
      </c>
      <c r="G154" t="n">
        <v>4.1</v>
      </c>
      <c r="H154" t="n">
        <v>0</v>
      </c>
      <c r="I154" t="n">
        <v>1</v>
      </c>
      <c r="J154" t="n">
        <v>0</v>
      </c>
      <c r="K154" t="n">
        <v>0</v>
      </c>
      <c r="L154" t="n">
        <v>0</v>
      </c>
      <c r="M154" t="n">
        <v>0</v>
      </c>
      <c r="N154" t="n">
        <v>0</v>
      </c>
      <c r="O154" t="n">
        <v>0</v>
      </c>
      <c r="P154" t="n">
        <v>0</v>
      </c>
      <c r="Q154" t="n">
        <v>1</v>
      </c>
      <c r="R154" s="2" t="inlineStr">
        <is>
          <t>Thomsons trägnagare</t>
        </is>
      </c>
      <c r="S154">
        <f>HYPERLINK("https://klasma.github.io/Logging_1882/artfynd/A 53502-2018 artfynd.xlsx", "A 53502-2018")</f>
        <v/>
      </c>
      <c r="T154">
        <f>HYPERLINK("https://klasma.github.io/Logging_1882/kartor/A 53502-2018 karta.png", "A 53502-2018")</f>
        <v/>
      </c>
      <c r="V154">
        <f>HYPERLINK("https://klasma.github.io/Logging_1882/klagomål/A 53502-2018 FSC-klagomål.docx", "A 53502-2018")</f>
        <v/>
      </c>
      <c r="W154">
        <f>HYPERLINK("https://klasma.github.io/Logging_1882/klagomålsmail/A 53502-2018 FSC-klagomål mail.docx", "A 53502-2018")</f>
        <v/>
      </c>
      <c r="X154">
        <f>HYPERLINK("https://klasma.github.io/Logging_1882/tillsyn/A 53502-2018 tillsynsbegäran.docx", "A 53502-2018")</f>
        <v/>
      </c>
      <c r="Y154">
        <f>HYPERLINK("https://klasma.github.io/Logging_1882/tillsynsmail/A 53502-2018 tillsynsbegäran mail.docx", "A 53502-2018")</f>
        <v/>
      </c>
    </row>
    <row r="155" ht="15" customHeight="1">
      <c r="A155" t="inlineStr">
        <is>
          <t>A 55545-2018</t>
        </is>
      </c>
      <c r="B155" s="1" t="n">
        <v>43397</v>
      </c>
      <c r="C155" s="1" t="n">
        <v>45222</v>
      </c>
      <c r="D155" t="inlineStr">
        <is>
          <t>ÖREBRO LÄN</t>
        </is>
      </c>
      <c r="E155" t="inlineStr">
        <is>
          <t>HALLSBERG</t>
        </is>
      </c>
      <c r="G155" t="n">
        <v>2</v>
      </c>
      <c r="H155" t="n">
        <v>0</v>
      </c>
      <c r="I155" t="n">
        <v>1</v>
      </c>
      <c r="J155" t="n">
        <v>0</v>
      </c>
      <c r="K155" t="n">
        <v>0</v>
      </c>
      <c r="L155" t="n">
        <v>0</v>
      </c>
      <c r="M155" t="n">
        <v>0</v>
      </c>
      <c r="N155" t="n">
        <v>0</v>
      </c>
      <c r="O155" t="n">
        <v>0</v>
      </c>
      <c r="P155" t="n">
        <v>0</v>
      </c>
      <c r="Q155" t="n">
        <v>1</v>
      </c>
      <c r="R155" s="2" t="inlineStr">
        <is>
          <t>Tibast</t>
        </is>
      </c>
      <c r="S155">
        <f>HYPERLINK("https://klasma.github.io/Logging_1861/artfynd/A 55545-2018 artfynd.xlsx", "A 55545-2018")</f>
        <v/>
      </c>
      <c r="T155">
        <f>HYPERLINK("https://klasma.github.io/Logging_1861/kartor/A 55545-2018 karta.png", "A 55545-2018")</f>
        <v/>
      </c>
      <c r="V155">
        <f>HYPERLINK("https://klasma.github.io/Logging_1861/klagomål/A 55545-2018 FSC-klagomål.docx", "A 55545-2018")</f>
        <v/>
      </c>
      <c r="W155">
        <f>HYPERLINK("https://klasma.github.io/Logging_1861/klagomålsmail/A 55545-2018 FSC-klagomål mail.docx", "A 55545-2018")</f>
        <v/>
      </c>
      <c r="X155">
        <f>HYPERLINK("https://klasma.github.io/Logging_1861/tillsyn/A 55545-2018 tillsynsbegäran.docx", "A 55545-2018")</f>
        <v/>
      </c>
      <c r="Y155">
        <f>HYPERLINK("https://klasma.github.io/Logging_1861/tillsynsmail/A 55545-2018 tillsynsbegäran mail.docx", "A 55545-2018")</f>
        <v/>
      </c>
    </row>
    <row r="156" ht="15" customHeight="1">
      <c r="A156" t="inlineStr">
        <is>
          <t>A 68147-2018</t>
        </is>
      </c>
      <c r="B156" s="1" t="n">
        <v>43441</v>
      </c>
      <c r="C156" s="1" t="n">
        <v>45222</v>
      </c>
      <c r="D156" t="inlineStr">
        <is>
          <t>ÖREBRO LÄN</t>
        </is>
      </c>
      <c r="E156" t="inlineStr">
        <is>
          <t>ASKERSUND</t>
        </is>
      </c>
      <c r="F156" t="inlineStr">
        <is>
          <t>Sveaskog</t>
        </is>
      </c>
      <c r="G156" t="n">
        <v>1.4</v>
      </c>
      <c r="H156" t="n">
        <v>0</v>
      </c>
      <c r="I156" t="n">
        <v>0</v>
      </c>
      <c r="J156" t="n">
        <v>1</v>
      </c>
      <c r="K156" t="n">
        <v>0</v>
      </c>
      <c r="L156" t="n">
        <v>0</v>
      </c>
      <c r="M156" t="n">
        <v>0</v>
      </c>
      <c r="N156" t="n">
        <v>0</v>
      </c>
      <c r="O156" t="n">
        <v>1</v>
      </c>
      <c r="P156" t="n">
        <v>0</v>
      </c>
      <c r="Q156" t="n">
        <v>1</v>
      </c>
      <c r="R156" s="2" t="inlineStr">
        <is>
          <t>Backstarr</t>
        </is>
      </c>
      <c r="S156">
        <f>HYPERLINK("https://klasma.github.io/Logging_1882/artfynd/A 68147-2018 artfynd.xlsx", "A 68147-2018")</f>
        <v/>
      </c>
      <c r="T156">
        <f>HYPERLINK("https://klasma.github.io/Logging_1882/kartor/A 68147-2018 karta.png", "A 68147-2018")</f>
        <v/>
      </c>
      <c r="V156">
        <f>HYPERLINK("https://klasma.github.io/Logging_1882/klagomål/A 68147-2018 FSC-klagomål.docx", "A 68147-2018")</f>
        <v/>
      </c>
      <c r="W156">
        <f>HYPERLINK("https://klasma.github.io/Logging_1882/klagomålsmail/A 68147-2018 FSC-klagomål mail.docx", "A 68147-2018")</f>
        <v/>
      </c>
      <c r="X156">
        <f>HYPERLINK("https://klasma.github.io/Logging_1882/tillsyn/A 68147-2018 tillsynsbegäran.docx", "A 68147-2018")</f>
        <v/>
      </c>
      <c r="Y156">
        <f>HYPERLINK("https://klasma.github.io/Logging_1882/tillsynsmail/A 68147-2018 tillsynsbegäran mail.docx", "A 68147-2018")</f>
        <v/>
      </c>
    </row>
    <row r="157" ht="15" customHeight="1">
      <c r="A157" t="inlineStr">
        <is>
          <t>A 71080-2018</t>
        </is>
      </c>
      <c r="B157" s="1" t="n">
        <v>43452</v>
      </c>
      <c r="C157" s="1" t="n">
        <v>45222</v>
      </c>
      <c r="D157" t="inlineStr">
        <is>
          <t>ÖREBRO LÄN</t>
        </is>
      </c>
      <c r="E157" t="inlineStr">
        <is>
          <t>ÖREBRO</t>
        </is>
      </c>
      <c r="F157" t="inlineStr">
        <is>
          <t>Övriga Aktiebolag</t>
        </is>
      </c>
      <c r="G157" t="n">
        <v>4.3</v>
      </c>
      <c r="H157" t="n">
        <v>1</v>
      </c>
      <c r="I157" t="n">
        <v>0</v>
      </c>
      <c r="J157" t="n">
        <v>0</v>
      </c>
      <c r="K157" t="n">
        <v>0</v>
      </c>
      <c r="L157" t="n">
        <v>0</v>
      </c>
      <c r="M157" t="n">
        <v>0</v>
      </c>
      <c r="N157" t="n">
        <v>1</v>
      </c>
      <c r="O157" t="n">
        <v>1</v>
      </c>
      <c r="P157" t="n">
        <v>0</v>
      </c>
      <c r="Q157" t="n">
        <v>1</v>
      </c>
      <c r="R157" s="2" t="inlineStr">
        <is>
          <t>Härfågel</t>
        </is>
      </c>
      <c r="S157">
        <f>HYPERLINK("https://klasma.github.io/Logging_1880/artfynd/A 71080-2018 artfynd.xlsx", "A 71080-2018")</f>
        <v/>
      </c>
      <c r="T157">
        <f>HYPERLINK("https://klasma.github.io/Logging_1880/kartor/A 71080-2018 karta.png", "A 71080-2018")</f>
        <v/>
      </c>
      <c r="V157">
        <f>HYPERLINK("https://klasma.github.io/Logging_1880/klagomål/A 71080-2018 FSC-klagomål.docx", "A 71080-2018")</f>
        <v/>
      </c>
      <c r="W157">
        <f>HYPERLINK("https://klasma.github.io/Logging_1880/klagomålsmail/A 71080-2018 FSC-klagomål mail.docx", "A 71080-2018")</f>
        <v/>
      </c>
      <c r="X157">
        <f>HYPERLINK("https://klasma.github.io/Logging_1880/tillsyn/A 71080-2018 tillsynsbegäran.docx", "A 71080-2018")</f>
        <v/>
      </c>
      <c r="Y157">
        <f>HYPERLINK("https://klasma.github.io/Logging_1880/tillsynsmail/A 71080-2018 tillsynsbegäran mail.docx", "A 71080-2018")</f>
        <v/>
      </c>
    </row>
    <row r="158" ht="15" customHeight="1">
      <c r="A158" t="inlineStr">
        <is>
          <t>A 71387-2018</t>
        </is>
      </c>
      <c r="B158" s="1" t="n">
        <v>43453</v>
      </c>
      <c r="C158" s="1" t="n">
        <v>45222</v>
      </c>
      <c r="D158" t="inlineStr">
        <is>
          <t>ÖREBRO LÄN</t>
        </is>
      </c>
      <c r="E158" t="inlineStr">
        <is>
          <t>LEKEBERG</t>
        </is>
      </c>
      <c r="F158" t="inlineStr">
        <is>
          <t>Allmännings- och besparingsskogar</t>
        </is>
      </c>
      <c r="G158" t="n">
        <v>49.7</v>
      </c>
      <c r="H158" t="n">
        <v>0</v>
      </c>
      <c r="I158" t="n">
        <v>0</v>
      </c>
      <c r="J158" t="n">
        <v>0</v>
      </c>
      <c r="K158" t="n">
        <v>1</v>
      </c>
      <c r="L158" t="n">
        <v>0</v>
      </c>
      <c r="M158" t="n">
        <v>0</v>
      </c>
      <c r="N158" t="n">
        <v>0</v>
      </c>
      <c r="O158" t="n">
        <v>1</v>
      </c>
      <c r="P158" t="n">
        <v>1</v>
      </c>
      <c r="Q158" t="n">
        <v>1</v>
      </c>
      <c r="R158" s="2" t="inlineStr">
        <is>
          <t>Violgubbe</t>
        </is>
      </c>
      <c r="S158">
        <f>HYPERLINK("https://klasma.github.io/Logging_1814/artfynd/A 71387-2018 artfynd.xlsx", "A 71387-2018")</f>
        <v/>
      </c>
      <c r="T158">
        <f>HYPERLINK("https://klasma.github.io/Logging_1814/kartor/A 71387-2018 karta.png", "A 71387-2018")</f>
        <v/>
      </c>
      <c r="V158">
        <f>HYPERLINK("https://klasma.github.io/Logging_1814/klagomål/A 71387-2018 FSC-klagomål.docx", "A 71387-2018")</f>
        <v/>
      </c>
      <c r="W158">
        <f>HYPERLINK("https://klasma.github.io/Logging_1814/klagomålsmail/A 71387-2018 FSC-klagomål mail.docx", "A 71387-2018")</f>
        <v/>
      </c>
      <c r="X158">
        <f>HYPERLINK("https://klasma.github.io/Logging_1814/tillsyn/A 71387-2018 tillsynsbegäran.docx", "A 71387-2018")</f>
        <v/>
      </c>
      <c r="Y158">
        <f>HYPERLINK("https://klasma.github.io/Logging_1814/tillsynsmail/A 71387-2018 tillsynsbegäran mail.docx", "A 71387-2018")</f>
        <v/>
      </c>
    </row>
    <row r="159" ht="15" customHeight="1">
      <c r="A159" t="inlineStr">
        <is>
          <t>A 51-2019</t>
        </is>
      </c>
      <c r="B159" s="1" t="n">
        <v>43467</v>
      </c>
      <c r="C159" s="1" t="n">
        <v>45222</v>
      </c>
      <c r="D159" t="inlineStr">
        <is>
          <t>ÖREBRO LÄN</t>
        </is>
      </c>
      <c r="E159" t="inlineStr">
        <is>
          <t>ASKERSUND</t>
        </is>
      </c>
      <c r="G159" t="n">
        <v>1.2</v>
      </c>
      <c r="H159" t="n">
        <v>0</v>
      </c>
      <c r="I159" t="n">
        <v>0</v>
      </c>
      <c r="J159" t="n">
        <v>1</v>
      </c>
      <c r="K159" t="n">
        <v>0</v>
      </c>
      <c r="L159" t="n">
        <v>0</v>
      </c>
      <c r="M159" t="n">
        <v>0</v>
      </c>
      <c r="N159" t="n">
        <v>0</v>
      </c>
      <c r="O159" t="n">
        <v>1</v>
      </c>
      <c r="P159" t="n">
        <v>0</v>
      </c>
      <c r="Q159" t="n">
        <v>1</v>
      </c>
      <c r="R159" s="2" t="inlineStr">
        <is>
          <t>Skogsklocka</t>
        </is>
      </c>
      <c r="S159">
        <f>HYPERLINK("https://klasma.github.io/Logging_1882/artfynd/A 51-2019 artfynd.xlsx", "A 51-2019")</f>
        <v/>
      </c>
      <c r="T159">
        <f>HYPERLINK("https://klasma.github.io/Logging_1882/kartor/A 51-2019 karta.png", "A 51-2019")</f>
        <v/>
      </c>
      <c r="V159">
        <f>HYPERLINK("https://klasma.github.io/Logging_1882/klagomål/A 51-2019 FSC-klagomål.docx", "A 51-2019")</f>
        <v/>
      </c>
      <c r="W159">
        <f>HYPERLINK("https://klasma.github.io/Logging_1882/klagomålsmail/A 51-2019 FSC-klagomål mail.docx", "A 51-2019")</f>
        <v/>
      </c>
      <c r="X159">
        <f>HYPERLINK("https://klasma.github.io/Logging_1882/tillsyn/A 51-2019 tillsynsbegäran.docx", "A 51-2019")</f>
        <v/>
      </c>
      <c r="Y159">
        <f>HYPERLINK("https://klasma.github.io/Logging_1882/tillsynsmail/A 51-2019 tillsynsbegäran mail.docx", "A 51-2019")</f>
        <v/>
      </c>
    </row>
    <row r="160" ht="15" customHeight="1">
      <c r="A160" t="inlineStr">
        <is>
          <t>A 5030-2019</t>
        </is>
      </c>
      <c r="B160" s="1" t="n">
        <v>43487</v>
      </c>
      <c r="C160" s="1" t="n">
        <v>45222</v>
      </c>
      <c r="D160" t="inlineStr">
        <is>
          <t>ÖREBRO LÄN</t>
        </is>
      </c>
      <c r="E160" t="inlineStr">
        <is>
          <t>HALLSBERG</t>
        </is>
      </c>
      <c r="F160" t="inlineStr">
        <is>
          <t>Allmännings- och besparingsskogar</t>
        </is>
      </c>
      <c r="G160" t="n">
        <v>9.699999999999999</v>
      </c>
      <c r="H160" t="n">
        <v>0</v>
      </c>
      <c r="I160" t="n">
        <v>0</v>
      </c>
      <c r="J160" t="n">
        <v>1</v>
      </c>
      <c r="K160" t="n">
        <v>0</v>
      </c>
      <c r="L160" t="n">
        <v>0</v>
      </c>
      <c r="M160" t="n">
        <v>0</v>
      </c>
      <c r="N160" t="n">
        <v>0</v>
      </c>
      <c r="O160" t="n">
        <v>1</v>
      </c>
      <c r="P160" t="n">
        <v>0</v>
      </c>
      <c r="Q160" t="n">
        <v>1</v>
      </c>
      <c r="R160" s="2" t="inlineStr">
        <is>
          <t>Skrovlig taggsvamp</t>
        </is>
      </c>
      <c r="S160">
        <f>HYPERLINK("https://klasma.github.io/Logging_1861/artfynd/A 5030-2019 artfynd.xlsx", "A 5030-2019")</f>
        <v/>
      </c>
      <c r="T160">
        <f>HYPERLINK("https://klasma.github.io/Logging_1861/kartor/A 5030-2019 karta.png", "A 5030-2019")</f>
        <v/>
      </c>
      <c r="V160">
        <f>HYPERLINK("https://klasma.github.io/Logging_1861/klagomål/A 5030-2019 FSC-klagomål.docx", "A 5030-2019")</f>
        <v/>
      </c>
      <c r="W160">
        <f>HYPERLINK("https://klasma.github.io/Logging_1861/klagomålsmail/A 5030-2019 FSC-klagomål mail.docx", "A 5030-2019")</f>
        <v/>
      </c>
      <c r="X160">
        <f>HYPERLINK("https://klasma.github.io/Logging_1861/tillsyn/A 5030-2019 tillsynsbegäran.docx", "A 5030-2019")</f>
        <v/>
      </c>
      <c r="Y160">
        <f>HYPERLINK("https://klasma.github.io/Logging_1861/tillsynsmail/A 5030-2019 tillsynsbegäran mail.docx", "A 5030-2019")</f>
        <v/>
      </c>
    </row>
    <row r="161" ht="15" customHeight="1">
      <c r="A161" t="inlineStr">
        <is>
          <t>A 6574-2019</t>
        </is>
      </c>
      <c r="B161" s="1" t="n">
        <v>43488</v>
      </c>
      <c r="C161" s="1" t="n">
        <v>45222</v>
      </c>
      <c r="D161" t="inlineStr">
        <is>
          <t>ÖREBRO LÄN</t>
        </is>
      </c>
      <c r="E161" t="inlineStr">
        <is>
          <t>KUMLA</t>
        </is>
      </c>
      <c r="F161" t="inlineStr">
        <is>
          <t>Kommuner</t>
        </is>
      </c>
      <c r="G161" t="n">
        <v>3</v>
      </c>
      <c r="H161" t="n">
        <v>1</v>
      </c>
      <c r="I161" t="n">
        <v>0</v>
      </c>
      <c r="J161" t="n">
        <v>1</v>
      </c>
      <c r="K161" t="n">
        <v>0</v>
      </c>
      <c r="L161" t="n">
        <v>0</v>
      </c>
      <c r="M161" t="n">
        <v>0</v>
      </c>
      <c r="N161" t="n">
        <v>0</v>
      </c>
      <c r="O161" t="n">
        <v>1</v>
      </c>
      <c r="P161" t="n">
        <v>0</v>
      </c>
      <c r="Q161" t="n">
        <v>1</v>
      </c>
      <c r="R161" s="2" t="inlineStr">
        <is>
          <t>Gulsparv</t>
        </is>
      </c>
      <c r="S161">
        <f>HYPERLINK("https://klasma.github.io/Logging_1881/artfynd/A 6574-2019 artfynd.xlsx", "A 6574-2019")</f>
        <v/>
      </c>
      <c r="T161">
        <f>HYPERLINK("https://klasma.github.io/Logging_1881/kartor/A 6574-2019 karta.png", "A 6574-2019")</f>
        <v/>
      </c>
      <c r="V161">
        <f>HYPERLINK("https://klasma.github.io/Logging_1881/klagomål/A 6574-2019 FSC-klagomål.docx", "A 6574-2019")</f>
        <v/>
      </c>
      <c r="W161">
        <f>HYPERLINK("https://klasma.github.io/Logging_1881/klagomålsmail/A 6574-2019 FSC-klagomål mail.docx", "A 6574-2019")</f>
        <v/>
      </c>
      <c r="X161">
        <f>HYPERLINK("https://klasma.github.io/Logging_1881/tillsyn/A 6574-2019 tillsynsbegäran.docx", "A 6574-2019")</f>
        <v/>
      </c>
      <c r="Y161">
        <f>HYPERLINK("https://klasma.github.io/Logging_1881/tillsynsmail/A 6574-2019 tillsynsbegäran mail.docx", "A 6574-2019")</f>
        <v/>
      </c>
    </row>
    <row r="162" ht="15" customHeight="1">
      <c r="A162" t="inlineStr">
        <is>
          <t>A 9579-2019</t>
        </is>
      </c>
      <c r="B162" s="1" t="n">
        <v>43508</v>
      </c>
      <c r="C162" s="1" t="n">
        <v>45222</v>
      </c>
      <c r="D162" t="inlineStr">
        <is>
          <t>ÖREBRO LÄN</t>
        </is>
      </c>
      <c r="E162" t="inlineStr">
        <is>
          <t>HALLSBERG</t>
        </is>
      </c>
      <c r="G162" t="n">
        <v>8.5</v>
      </c>
      <c r="H162" t="n">
        <v>0</v>
      </c>
      <c r="I162" t="n">
        <v>0</v>
      </c>
      <c r="J162" t="n">
        <v>1</v>
      </c>
      <c r="K162" t="n">
        <v>0</v>
      </c>
      <c r="L162" t="n">
        <v>0</v>
      </c>
      <c r="M162" t="n">
        <v>0</v>
      </c>
      <c r="N162" t="n">
        <v>0</v>
      </c>
      <c r="O162" t="n">
        <v>1</v>
      </c>
      <c r="P162" t="n">
        <v>0</v>
      </c>
      <c r="Q162" t="n">
        <v>1</v>
      </c>
      <c r="R162" s="2" t="inlineStr">
        <is>
          <t>Granspira</t>
        </is>
      </c>
      <c r="S162">
        <f>HYPERLINK("https://klasma.github.io/Logging_1861/artfynd/A 9579-2019 artfynd.xlsx", "A 9579-2019")</f>
        <v/>
      </c>
      <c r="T162">
        <f>HYPERLINK("https://klasma.github.io/Logging_1861/kartor/A 9579-2019 karta.png", "A 9579-2019")</f>
        <v/>
      </c>
      <c r="V162">
        <f>HYPERLINK("https://klasma.github.io/Logging_1861/klagomål/A 9579-2019 FSC-klagomål.docx", "A 9579-2019")</f>
        <v/>
      </c>
      <c r="W162">
        <f>HYPERLINK("https://klasma.github.io/Logging_1861/klagomålsmail/A 9579-2019 FSC-klagomål mail.docx", "A 9579-2019")</f>
        <v/>
      </c>
      <c r="X162">
        <f>HYPERLINK("https://klasma.github.io/Logging_1861/tillsyn/A 9579-2019 tillsynsbegäran.docx", "A 9579-2019")</f>
        <v/>
      </c>
      <c r="Y162">
        <f>HYPERLINK("https://klasma.github.io/Logging_1861/tillsynsmail/A 9579-2019 tillsynsbegäran mail.docx", "A 9579-2019")</f>
        <v/>
      </c>
    </row>
    <row r="163" ht="15" customHeight="1">
      <c r="A163" t="inlineStr">
        <is>
          <t>A 11950-2019</t>
        </is>
      </c>
      <c r="B163" s="1" t="n">
        <v>43521</v>
      </c>
      <c r="C163" s="1" t="n">
        <v>45222</v>
      </c>
      <c r="D163" t="inlineStr">
        <is>
          <t>ÖREBRO LÄN</t>
        </is>
      </c>
      <c r="E163" t="inlineStr">
        <is>
          <t>ASKERSUND</t>
        </is>
      </c>
      <c r="G163" t="n">
        <v>1.6</v>
      </c>
      <c r="H163" t="n">
        <v>0</v>
      </c>
      <c r="I163" t="n">
        <v>1</v>
      </c>
      <c r="J163" t="n">
        <v>0</v>
      </c>
      <c r="K163" t="n">
        <v>0</v>
      </c>
      <c r="L163" t="n">
        <v>0</v>
      </c>
      <c r="M163" t="n">
        <v>0</v>
      </c>
      <c r="N163" t="n">
        <v>0</v>
      </c>
      <c r="O163" t="n">
        <v>0</v>
      </c>
      <c r="P163" t="n">
        <v>0</v>
      </c>
      <c r="Q163" t="n">
        <v>1</v>
      </c>
      <c r="R163" s="2" t="inlineStr">
        <is>
          <t>Springkorn</t>
        </is>
      </c>
      <c r="S163">
        <f>HYPERLINK("https://klasma.github.io/Logging_1882/artfynd/A 11950-2019 artfynd.xlsx", "A 11950-2019")</f>
        <v/>
      </c>
      <c r="T163">
        <f>HYPERLINK("https://klasma.github.io/Logging_1882/kartor/A 11950-2019 karta.png", "A 11950-2019")</f>
        <v/>
      </c>
      <c r="V163">
        <f>HYPERLINK("https://klasma.github.io/Logging_1882/klagomål/A 11950-2019 FSC-klagomål.docx", "A 11950-2019")</f>
        <v/>
      </c>
      <c r="W163">
        <f>HYPERLINK("https://klasma.github.io/Logging_1882/klagomålsmail/A 11950-2019 FSC-klagomål mail.docx", "A 11950-2019")</f>
        <v/>
      </c>
      <c r="X163">
        <f>HYPERLINK("https://klasma.github.io/Logging_1882/tillsyn/A 11950-2019 tillsynsbegäran.docx", "A 11950-2019")</f>
        <v/>
      </c>
      <c r="Y163">
        <f>HYPERLINK("https://klasma.github.io/Logging_1882/tillsynsmail/A 11950-2019 tillsynsbegäran mail.docx", "A 11950-2019")</f>
        <v/>
      </c>
    </row>
    <row r="164" ht="15" customHeight="1">
      <c r="A164" t="inlineStr">
        <is>
          <t>A 12961-2019</t>
        </is>
      </c>
      <c r="B164" s="1" t="n">
        <v>43526</v>
      </c>
      <c r="C164" s="1" t="n">
        <v>45222</v>
      </c>
      <c r="D164" t="inlineStr">
        <is>
          <t>ÖREBRO LÄN</t>
        </is>
      </c>
      <c r="E164" t="inlineStr">
        <is>
          <t>LINDESBERG</t>
        </is>
      </c>
      <c r="G164" t="n">
        <v>1.7</v>
      </c>
      <c r="H164" t="n">
        <v>0</v>
      </c>
      <c r="I164" t="n">
        <v>1</v>
      </c>
      <c r="J164" t="n">
        <v>0</v>
      </c>
      <c r="K164" t="n">
        <v>0</v>
      </c>
      <c r="L164" t="n">
        <v>0</v>
      </c>
      <c r="M164" t="n">
        <v>0</v>
      </c>
      <c r="N164" t="n">
        <v>0</v>
      </c>
      <c r="O164" t="n">
        <v>0</v>
      </c>
      <c r="P164" t="n">
        <v>0</v>
      </c>
      <c r="Q164" t="n">
        <v>1</v>
      </c>
      <c r="R164" s="2" t="inlineStr">
        <is>
          <t>Stubbspretmossa</t>
        </is>
      </c>
      <c r="S164">
        <f>HYPERLINK("https://klasma.github.io/Logging_1885/artfynd/A 12961-2019 artfynd.xlsx", "A 12961-2019")</f>
        <v/>
      </c>
      <c r="T164">
        <f>HYPERLINK("https://klasma.github.io/Logging_1885/kartor/A 12961-2019 karta.png", "A 12961-2019")</f>
        <v/>
      </c>
      <c r="V164">
        <f>HYPERLINK("https://klasma.github.io/Logging_1885/klagomål/A 12961-2019 FSC-klagomål.docx", "A 12961-2019")</f>
        <v/>
      </c>
      <c r="W164">
        <f>HYPERLINK("https://klasma.github.io/Logging_1885/klagomålsmail/A 12961-2019 FSC-klagomål mail.docx", "A 12961-2019")</f>
        <v/>
      </c>
      <c r="X164">
        <f>HYPERLINK("https://klasma.github.io/Logging_1885/tillsyn/A 12961-2019 tillsynsbegäran.docx", "A 12961-2019")</f>
        <v/>
      </c>
      <c r="Y164">
        <f>HYPERLINK("https://klasma.github.io/Logging_1885/tillsynsmail/A 12961-2019 tillsynsbegäran mail.docx", "A 12961-2019")</f>
        <v/>
      </c>
    </row>
    <row r="165" ht="15" customHeight="1">
      <c r="A165" t="inlineStr">
        <is>
          <t>A 15569-2019</t>
        </is>
      </c>
      <c r="B165" s="1" t="n">
        <v>43539</v>
      </c>
      <c r="C165" s="1" t="n">
        <v>45222</v>
      </c>
      <c r="D165" t="inlineStr">
        <is>
          <t>ÖREBRO LÄN</t>
        </is>
      </c>
      <c r="E165" t="inlineStr">
        <is>
          <t>ASKERSUND</t>
        </is>
      </c>
      <c r="G165" t="n">
        <v>3.5</v>
      </c>
      <c r="H165" t="n">
        <v>0</v>
      </c>
      <c r="I165" t="n">
        <v>1</v>
      </c>
      <c r="J165" t="n">
        <v>0</v>
      </c>
      <c r="K165" t="n">
        <v>0</v>
      </c>
      <c r="L165" t="n">
        <v>0</v>
      </c>
      <c r="M165" t="n">
        <v>0</v>
      </c>
      <c r="N165" t="n">
        <v>0</v>
      </c>
      <c r="O165" t="n">
        <v>0</v>
      </c>
      <c r="P165" t="n">
        <v>0</v>
      </c>
      <c r="Q165" t="n">
        <v>1</v>
      </c>
      <c r="R165" s="2" t="inlineStr">
        <is>
          <t>Tibast</t>
        </is>
      </c>
      <c r="S165">
        <f>HYPERLINK("https://klasma.github.io/Logging_1882/artfynd/A 15569-2019 artfynd.xlsx", "A 15569-2019")</f>
        <v/>
      </c>
      <c r="T165">
        <f>HYPERLINK("https://klasma.github.io/Logging_1882/kartor/A 15569-2019 karta.png", "A 15569-2019")</f>
        <v/>
      </c>
      <c r="V165">
        <f>HYPERLINK("https://klasma.github.io/Logging_1882/klagomål/A 15569-2019 FSC-klagomål.docx", "A 15569-2019")</f>
        <v/>
      </c>
      <c r="W165">
        <f>HYPERLINK("https://klasma.github.io/Logging_1882/klagomålsmail/A 15569-2019 FSC-klagomål mail.docx", "A 15569-2019")</f>
        <v/>
      </c>
      <c r="X165">
        <f>HYPERLINK("https://klasma.github.io/Logging_1882/tillsyn/A 15569-2019 tillsynsbegäran.docx", "A 15569-2019")</f>
        <v/>
      </c>
      <c r="Y165">
        <f>HYPERLINK("https://klasma.github.io/Logging_1882/tillsynsmail/A 15569-2019 tillsynsbegäran mail.docx", "A 15569-2019")</f>
        <v/>
      </c>
    </row>
    <row r="166" ht="15" customHeight="1">
      <c r="A166" t="inlineStr">
        <is>
          <t>A 15351-2019</t>
        </is>
      </c>
      <c r="B166" s="1" t="n">
        <v>43541</v>
      </c>
      <c r="C166" s="1" t="n">
        <v>45222</v>
      </c>
      <c r="D166" t="inlineStr">
        <is>
          <t>ÖREBRO LÄN</t>
        </is>
      </c>
      <c r="E166" t="inlineStr">
        <is>
          <t>ÖREBRO</t>
        </is>
      </c>
      <c r="G166" t="n">
        <v>3.3</v>
      </c>
      <c r="H166" t="n">
        <v>1</v>
      </c>
      <c r="I166" t="n">
        <v>0</v>
      </c>
      <c r="J166" t="n">
        <v>0</v>
      </c>
      <c r="K166" t="n">
        <v>1</v>
      </c>
      <c r="L166" t="n">
        <v>0</v>
      </c>
      <c r="M166" t="n">
        <v>0</v>
      </c>
      <c r="N166" t="n">
        <v>0</v>
      </c>
      <c r="O166" t="n">
        <v>1</v>
      </c>
      <c r="P166" t="n">
        <v>1</v>
      </c>
      <c r="Q166" t="n">
        <v>1</v>
      </c>
      <c r="R166" s="2" t="inlineStr">
        <is>
          <t>Hällebräcka</t>
        </is>
      </c>
      <c r="S166">
        <f>HYPERLINK("https://klasma.github.io/Logging_1880/artfynd/A 15351-2019 artfynd.xlsx", "A 15351-2019")</f>
        <v/>
      </c>
      <c r="T166">
        <f>HYPERLINK("https://klasma.github.io/Logging_1880/kartor/A 15351-2019 karta.png", "A 15351-2019")</f>
        <v/>
      </c>
      <c r="V166">
        <f>HYPERLINK("https://klasma.github.io/Logging_1880/klagomål/A 15351-2019 FSC-klagomål.docx", "A 15351-2019")</f>
        <v/>
      </c>
      <c r="W166">
        <f>HYPERLINK("https://klasma.github.io/Logging_1880/klagomålsmail/A 15351-2019 FSC-klagomål mail.docx", "A 15351-2019")</f>
        <v/>
      </c>
      <c r="X166">
        <f>HYPERLINK("https://klasma.github.io/Logging_1880/tillsyn/A 15351-2019 tillsynsbegäran.docx", "A 15351-2019")</f>
        <v/>
      </c>
      <c r="Y166">
        <f>HYPERLINK("https://klasma.github.io/Logging_1880/tillsynsmail/A 15351-2019 tillsynsbegäran mail.docx", "A 15351-2019")</f>
        <v/>
      </c>
    </row>
    <row r="167" ht="15" customHeight="1">
      <c r="A167" t="inlineStr">
        <is>
          <t>A 18741-2019</t>
        </is>
      </c>
      <c r="B167" s="1" t="n">
        <v>43560</v>
      </c>
      <c r="C167" s="1" t="n">
        <v>45222</v>
      </c>
      <c r="D167" t="inlineStr">
        <is>
          <t>ÖREBRO LÄN</t>
        </is>
      </c>
      <c r="E167" t="inlineStr">
        <is>
          <t>LINDESBERG</t>
        </is>
      </c>
      <c r="G167" t="n">
        <v>6.7</v>
      </c>
      <c r="H167" t="n">
        <v>0</v>
      </c>
      <c r="I167" t="n">
        <v>1</v>
      </c>
      <c r="J167" t="n">
        <v>0</v>
      </c>
      <c r="K167" t="n">
        <v>0</v>
      </c>
      <c r="L167" t="n">
        <v>0</v>
      </c>
      <c r="M167" t="n">
        <v>0</v>
      </c>
      <c r="N167" t="n">
        <v>0</v>
      </c>
      <c r="O167" t="n">
        <v>0</v>
      </c>
      <c r="P167" t="n">
        <v>0</v>
      </c>
      <c r="Q167" t="n">
        <v>1</v>
      </c>
      <c r="R167" s="2" t="inlineStr">
        <is>
          <t>Dropptaggsvamp</t>
        </is>
      </c>
      <c r="S167">
        <f>HYPERLINK("https://klasma.github.io/Logging_1885/artfynd/A 18741-2019 artfynd.xlsx", "A 18741-2019")</f>
        <v/>
      </c>
      <c r="T167">
        <f>HYPERLINK("https://klasma.github.io/Logging_1885/kartor/A 18741-2019 karta.png", "A 18741-2019")</f>
        <v/>
      </c>
      <c r="V167">
        <f>HYPERLINK("https://klasma.github.io/Logging_1885/klagomål/A 18741-2019 FSC-klagomål.docx", "A 18741-2019")</f>
        <v/>
      </c>
      <c r="W167">
        <f>HYPERLINK("https://klasma.github.io/Logging_1885/klagomålsmail/A 18741-2019 FSC-klagomål mail.docx", "A 18741-2019")</f>
        <v/>
      </c>
      <c r="X167">
        <f>HYPERLINK("https://klasma.github.io/Logging_1885/tillsyn/A 18741-2019 tillsynsbegäran.docx", "A 18741-2019")</f>
        <v/>
      </c>
      <c r="Y167">
        <f>HYPERLINK("https://klasma.github.io/Logging_1885/tillsynsmail/A 18741-2019 tillsynsbegäran mail.docx", "A 18741-2019")</f>
        <v/>
      </c>
    </row>
    <row r="168" ht="15" customHeight="1">
      <c r="A168" t="inlineStr">
        <is>
          <t>A 22674-2019</t>
        </is>
      </c>
      <c r="B168" s="1" t="n">
        <v>43588</v>
      </c>
      <c r="C168" s="1" t="n">
        <v>45222</v>
      </c>
      <c r="D168" t="inlineStr">
        <is>
          <t>ÖREBRO LÄN</t>
        </is>
      </c>
      <c r="E168" t="inlineStr">
        <is>
          <t>LINDESBERG</t>
        </is>
      </c>
      <c r="F168" t="inlineStr">
        <is>
          <t>Sveaskog</t>
        </is>
      </c>
      <c r="G168" t="n">
        <v>1.6</v>
      </c>
      <c r="H168" t="n">
        <v>1</v>
      </c>
      <c r="I168" t="n">
        <v>0</v>
      </c>
      <c r="J168" t="n">
        <v>1</v>
      </c>
      <c r="K168" t="n">
        <v>0</v>
      </c>
      <c r="L168" t="n">
        <v>0</v>
      </c>
      <c r="M168" t="n">
        <v>0</v>
      </c>
      <c r="N168" t="n">
        <v>0</v>
      </c>
      <c r="O168" t="n">
        <v>1</v>
      </c>
      <c r="P168" t="n">
        <v>0</v>
      </c>
      <c r="Q168" t="n">
        <v>1</v>
      </c>
      <c r="R168" s="2" t="inlineStr">
        <is>
          <t>Nordfladdermus</t>
        </is>
      </c>
      <c r="S168">
        <f>HYPERLINK("https://klasma.github.io/Logging_1885/artfynd/A 22674-2019 artfynd.xlsx", "A 22674-2019")</f>
        <v/>
      </c>
      <c r="T168">
        <f>HYPERLINK("https://klasma.github.io/Logging_1885/kartor/A 22674-2019 karta.png", "A 22674-2019")</f>
        <v/>
      </c>
      <c r="V168">
        <f>HYPERLINK("https://klasma.github.io/Logging_1885/klagomål/A 22674-2019 FSC-klagomål.docx", "A 22674-2019")</f>
        <v/>
      </c>
      <c r="W168">
        <f>HYPERLINK("https://klasma.github.io/Logging_1885/klagomålsmail/A 22674-2019 FSC-klagomål mail.docx", "A 22674-2019")</f>
        <v/>
      </c>
      <c r="X168">
        <f>HYPERLINK("https://klasma.github.io/Logging_1885/tillsyn/A 22674-2019 tillsynsbegäran.docx", "A 22674-2019")</f>
        <v/>
      </c>
      <c r="Y168">
        <f>HYPERLINK("https://klasma.github.io/Logging_1885/tillsynsmail/A 22674-2019 tillsynsbegäran mail.docx", "A 22674-2019")</f>
        <v/>
      </c>
    </row>
    <row r="169" ht="15" customHeight="1">
      <c r="A169" t="inlineStr">
        <is>
          <t>A 25813-2019</t>
        </is>
      </c>
      <c r="B169" s="1" t="n">
        <v>43608</v>
      </c>
      <c r="C169" s="1" t="n">
        <v>45222</v>
      </c>
      <c r="D169" t="inlineStr">
        <is>
          <t>ÖREBRO LÄN</t>
        </is>
      </c>
      <c r="E169" t="inlineStr">
        <is>
          <t>ASKERSUND</t>
        </is>
      </c>
      <c r="G169" t="n">
        <v>2.4</v>
      </c>
      <c r="H169" t="n">
        <v>0</v>
      </c>
      <c r="I169" t="n">
        <v>0</v>
      </c>
      <c r="J169" t="n">
        <v>1</v>
      </c>
      <c r="K169" t="n">
        <v>0</v>
      </c>
      <c r="L169" t="n">
        <v>0</v>
      </c>
      <c r="M169" t="n">
        <v>0</v>
      </c>
      <c r="N169" t="n">
        <v>0</v>
      </c>
      <c r="O169" t="n">
        <v>1</v>
      </c>
      <c r="P169" t="n">
        <v>0</v>
      </c>
      <c r="Q169" t="n">
        <v>1</v>
      </c>
      <c r="R169" s="2" t="inlineStr">
        <is>
          <t>Ängsstarr</t>
        </is>
      </c>
      <c r="S169">
        <f>HYPERLINK("https://klasma.github.io/Logging_1882/artfynd/A 25813-2019 artfynd.xlsx", "A 25813-2019")</f>
        <v/>
      </c>
      <c r="T169">
        <f>HYPERLINK("https://klasma.github.io/Logging_1882/kartor/A 25813-2019 karta.png", "A 25813-2019")</f>
        <v/>
      </c>
      <c r="V169">
        <f>HYPERLINK("https://klasma.github.io/Logging_1882/klagomål/A 25813-2019 FSC-klagomål.docx", "A 25813-2019")</f>
        <v/>
      </c>
      <c r="W169">
        <f>HYPERLINK("https://klasma.github.io/Logging_1882/klagomålsmail/A 25813-2019 FSC-klagomål mail.docx", "A 25813-2019")</f>
        <v/>
      </c>
      <c r="X169">
        <f>HYPERLINK("https://klasma.github.io/Logging_1882/tillsyn/A 25813-2019 tillsynsbegäran.docx", "A 25813-2019")</f>
        <v/>
      </c>
      <c r="Y169">
        <f>HYPERLINK("https://klasma.github.io/Logging_1882/tillsynsmail/A 25813-2019 tillsynsbegäran mail.docx", "A 25813-2019")</f>
        <v/>
      </c>
    </row>
    <row r="170" ht="15" customHeight="1">
      <c r="A170" t="inlineStr">
        <is>
          <t>A 33605-2019</t>
        </is>
      </c>
      <c r="B170" s="1" t="n">
        <v>43644</v>
      </c>
      <c r="C170" s="1" t="n">
        <v>45222</v>
      </c>
      <c r="D170" t="inlineStr">
        <is>
          <t>ÖREBRO LÄN</t>
        </is>
      </c>
      <c r="E170" t="inlineStr">
        <is>
          <t>ÖREBRO</t>
        </is>
      </c>
      <c r="F170" t="inlineStr">
        <is>
          <t>Kommuner</t>
        </is>
      </c>
      <c r="G170" t="n">
        <v>1.5</v>
      </c>
      <c r="H170" t="n">
        <v>0</v>
      </c>
      <c r="I170" t="n">
        <v>0</v>
      </c>
      <c r="J170" t="n">
        <v>1</v>
      </c>
      <c r="K170" t="n">
        <v>0</v>
      </c>
      <c r="L170" t="n">
        <v>0</v>
      </c>
      <c r="M170" t="n">
        <v>0</v>
      </c>
      <c r="N170" t="n">
        <v>0</v>
      </c>
      <c r="O170" t="n">
        <v>1</v>
      </c>
      <c r="P170" t="n">
        <v>0</v>
      </c>
      <c r="Q170" t="n">
        <v>1</v>
      </c>
      <c r="R170" s="2" t="inlineStr">
        <is>
          <t>Tallticka</t>
        </is>
      </c>
      <c r="S170">
        <f>HYPERLINK("https://klasma.github.io/Logging_1880/artfynd/A 33605-2019 artfynd.xlsx", "A 33605-2019")</f>
        <v/>
      </c>
      <c r="T170">
        <f>HYPERLINK("https://klasma.github.io/Logging_1880/kartor/A 33605-2019 karta.png", "A 33605-2019")</f>
        <v/>
      </c>
      <c r="V170">
        <f>HYPERLINK("https://klasma.github.io/Logging_1880/klagomål/A 33605-2019 FSC-klagomål.docx", "A 33605-2019")</f>
        <v/>
      </c>
      <c r="W170">
        <f>HYPERLINK("https://klasma.github.io/Logging_1880/klagomålsmail/A 33605-2019 FSC-klagomål mail.docx", "A 33605-2019")</f>
        <v/>
      </c>
      <c r="X170">
        <f>HYPERLINK("https://klasma.github.io/Logging_1880/tillsyn/A 33605-2019 tillsynsbegäran.docx", "A 33605-2019")</f>
        <v/>
      </c>
      <c r="Y170">
        <f>HYPERLINK("https://klasma.github.io/Logging_1880/tillsynsmail/A 33605-2019 tillsynsbegäran mail.docx", "A 33605-2019")</f>
        <v/>
      </c>
    </row>
    <row r="171" ht="15" customHeight="1">
      <c r="A171" t="inlineStr">
        <is>
          <t>A 35654-2019</t>
        </is>
      </c>
      <c r="B171" s="1" t="n">
        <v>43655</v>
      </c>
      <c r="C171" s="1" t="n">
        <v>45222</v>
      </c>
      <c r="D171" t="inlineStr">
        <is>
          <t>ÖREBRO LÄN</t>
        </is>
      </c>
      <c r="E171" t="inlineStr">
        <is>
          <t>HALLSBERG</t>
        </is>
      </c>
      <c r="F171" t="inlineStr">
        <is>
          <t>Allmännings- och besparingsskogar</t>
        </is>
      </c>
      <c r="G171" t="n">
        <v>0.6</v>
      </c>
      <c r="H171" t="n">
        <v>1</v>
      </c>
      <c r="I171" t="n">
        <v>0</v>
      </c>
      <c r="J171" t="n">
        <v>0</v>
      </c>
      <c r="K171" t="n">
        <v>0</v>
      </c>
      <c r="L171" t="n">
        <v>0</v>
      </c>
      <c r="M171" t="n">
        <v>0</v>
      </c>
      <c r="N171" t="n">
        <v>0</v>
      </c>
      <c r="O171" t="n">
        <v>0</v>
      </c>
      <c r="P171" t="n">
        <v>0</v>
      </c>
      <c r="Q171" t="n">
        <v>1</v>
      </c>
      <c r="R171" s="2" t="inlineStr">
        <is>
          <t>Revlummer</t>
        </is>
      </c>
      <c r="S171">
        <f>HYPERLINK("https://klasma.github.io/Logging_1861/artfynd/A 35654-2019 artfynd.xlsx", "A 35654-2019")</f>
        <v/>
      </c>
      <c r="T171">
        <f>HYPERLINK("https://klasma.github.io/Logging_1861/kartor/A 35654-2019 karta.png", "A 35654-2019")</f>
        <v/>
      </c>
      <c r="V171">
        <f>HYPERLINK("https://klasma.github.io/Logging_1861/klagomål/A 35654-2019 FSC-klagomål.docx", "A 35654-2019")</f>
        <v/>
      </c>
      <c r="W171">
        <f>HYPERLINK("https://klasma.github.io/Logging_1861/klagomålsmail/A 35654-2019 FSC-klagomål mail.docx", "A 35654-2019")</f>
        <v/>
      </c>
      <c r="X171">
        <f>HYPERLINK("https://klasma.github.io/Logging_1861/tillsyn/A 35654-2019 tillsynsbegäran.docx", "A 35654-2019")</f>
        <v/>
      </c>
      <c r="Y171">
        <f>HYPERLINK("https://klasma.github.io/Logging_1861/tillsynsmail/A 35654-2019 tillsynsbegäran mail.docx", "A 35654-2019")</f>
        <v/>
      </c>
    </row>
    <row r="172" ht="15" customHeight="1">
      <c r="A172" t="inlineStr">
        <is>
          <t>A 37961-2019</t>
        </is>
      </c>
      <c r="B172" s="1" t="n">
        <v>43683</v>
      </c>
      <c r="C172" s="1" t="n">
        <v>45222</v>
      </c>
      <c r="D172" t="inlineStr">
        <is>
          <t>ÖREBRO LÄN</t>
        </is>
      </c>
      <c r="E172" t="inlineStr">
        <is>
          <t>LEKEBERG</t>
        </is>
      </c>
      <c r="G172" t="n">
        <v>6.2</v>
      </c>
      <c r="H172" t="n">
        <v>1</v>
      </c>
      <c r="I172" t="n">
        <v>0</v>
      </c>
      <c r="J172" t="n">
        <v>0</v>
      </c>
      <c r="K172" t="n">
        <v>0</v>
      </c>
      <c r="L172" t="n">
        <v>0</v>
      </c>
      <c r="M172" t="n">
        <v>0</v>
      </c>
      <c r="N172" t="n">
        <v>0</v>
      </c>
      <c r="O172" t="n">
        <v>0</v>
      </c>
      <c r="P172" t="n">
        <v>0</v>
      </c>
      <c r="Q172" t="n">
        <v>1</v>
      </c>
      <c r="R172" s="2" t="inlineStr">
        <is>
          <t>Nattviol</t>
        </is>
      </c>
      <c r="S172">
        <f>HYPERLINK("https://klasma.github.io/Logging_1814/artfynd/A 37961-2019 artfynd.xlsx", "A 37961-2019")</f>
        <v/>
      </c>
      <c r="T172">
        <f>HYPERLINK("https://klasma.github.io/Logging_1814/kartor/A 37961-2019 karta.png", "A 37961-2019")</f>
        <v/>
      </c>
      <c r="V172">
        <f>HYPERLINK("https://klasma.github.io/Logging_1814/klagomål/A 37961-2019 FSC-klagomål.docx", "A 37961-2019")</f>
        <v/>
      </c>
      <c r="W172">
        <f>HYPERLINK("https://klasma.github.io/Logging_1814/klagomålsmail/A 37961-2019 FSC-klagomål mail.docx", "A 37961-2019")</f>
        <v/>
      </c>
      <c r="X172">
        <f>HYPERLINK("https://klasma.github.io/Logging_1814/tillsyn/A 37961-2019 tillsynsbegäran.docx", "A 37961-2019")</f>
        <v/>
      </c>
      <c r="Y172">
        <f>HYPERLINK("https://klasma.github.io/Logging_1814/tillsynsmail/A 37961-2019 tillsynsbegäran mail.docx", "A 37961-2019")</f>
        <v/>
      </c>
    </row>
    <row r="173" ht="15" customHeight="1">
      <c r="A173" t="inlineStr">
        <is>
          <t>A 38446-2019</t>
        </is>
      </c>
      <c r="B173" s="1" t="n">
        <v>43685</v>
      </c>
      <c r="C173" s="1" t="n">
        <v>45222</v>
      </c>
      <c r="D173" t="inlineStr">
        <is>
          <t>ÖREBRO LÄN</t>
        </is>
      </c>
      <c r="E173" t="inlineStr">
        <is>
          <t>HALLSBERG</t>
        </is>
      </c>
      <c r="G173" t="n">
        <v>1.4</v>
      </c>
      <c r="H173" t="n">
        <v>1</v>
      </c>
      <c r="I173" t="n">
        <v>0</v>
      </c>
      <c r="J173" t="n">
        <v>0</v>
      </c>
      <c r="K173" t="n">
        <v>0</v>
      </c>
      <c r="L173" t="n">
        <v>0</v>
      </c>
      <c r="M173" t="n">
        <v>0</v>
      </c>
      <c r="N173" t="n">
        <v>0</v>
      </c>
      <c r="O173" t="n">
        <v>0</v>
      </c>
      <c r="P173" t="n">
        <v>0</v>
      </c>
      <c r="Q173" t="n">
        <v>1</v>
      </c>
      <c r="R173" s="2" t="inlineStr">
        <is>
          <t>Grönvit nattviol</t>
        </is>
      </c>
      <c r="S173">
        <f>HYPERLINK("https://klasma.github.io/Logging_1861/artfynd/A 38446-2019 artfynd.xlsx", "A 38446-2019")</f>
        <v/>
      </c>
      <c r="T173">
        <f>HYPERLINK("https://klasma.github.io/Logging_1861/kartor/A 38446-2019 karta.png", "A 38446-2019")</f>
        <v/>
      </c>
      <c r="V173">
        <f>HYPERLINK("https://klasma.github.io/Logging_1861/klagomål/A 38446-2019 FSC-klagomål.docx", "A 38446-2019")</f>
        <v/>
      </c>
      <c r="W173">
        <f>HYPERLINK("https://klasma.github.io/Logging_1861/klagomålsmail/A 38446-2019 FSC-klagomål mail.docx", "A 38446-2019")</f>
        <v/>
      </c>
      <c r="X173">
        <f>HYPERLINK("https://klasma.github.io/Logging_1861/tillsyn/A 38446-2019 tillsynsbegäran.docx", "A 38446-2019")</f>
        <v/>
      </c>
      <c r="Y173">
        <f>HYPERLINK("https://klasma.github.io/Logging_1861/tillsynsmail/A 38446-2019 tillsynsbegäran mail.docx", "A 38446-2019")</f>
        <v/>
      </c>
    </row>
    <row r="174" ht="15" customHeight="1">
      <c r="A174" t="inlineStr">
        <is>
          <t>A 39511-2019</t>
        </is>
      </c>
      <c r="B174" s="1" t="n">
        <v>43691</v>
      </c>
      <c r="C174" s="1" t="n">
        <v>45222</v>
      </c>
      <c r="D174" t="inlineStr">
        <is>
          <t>ÖREBRO LÄN</t>
        </is>
      </c>
      <c r="E174" t="inlineStr">
        <is>
          <t>ASKERSUND</t>
        </is>
      </c>
      <c r="F174" t="inlineStr">
        <is>
          <t>Sveaskog</t>
        </is>
      </c>
      <c r="G174" t="n">
        <v>0.9</v>
      </c>
      <c r="H174" t="n">
        <v>0</v>
      </c>
      <c r="I174" t="n">
        <v>0</v>
      </c>
      <c r="J174" t="n">
        <v>1</v>
      </c>
      <c r="K174" t="n">
        <v>0</v>
      </c>
      <c r="L174" t="n">
        <v>0</v>
      </c>
      <c r="M174" t="n">
        <v>0</v>
      </c>
      <c r="N174" t="n">
        <v>0</v>
      </c>
      <c r="O174" t="n">
        <v>1</v>
      </c>
      <c r="P174" t="n">
        <v>0</v>
      </c>
      <c r="Q174" t="n">
        <v>1</v>
      </c>
      <c r="R174" s="2" t="inlineStr">
        <is>
          <t>Svinrot</t>
        </is>
      </c>
      <c r="S174">
        <f>HYPERLINK("https://klasma.github.io/Logging_1882/artfynd/A 39511-2019 artfynd.xlsx", "A 39511-2019")</f>
        <v/>
      </c>
      <c r="T174">
        <f>HYPERLINK("https://klasma.github.io/Logging_1882/kartor/A 39511-2019 karta.png", "A 39511-2019")</f>
        <v/>
      </c>
      <c r="V174">
        <f>HYPERLINK("https://klasma.github.io/Logging_1882/klagomål/A 39511-2019 FSC-klagomål.docx", "A 39511-2019")</f>
        <v/>
      </c>
      <c r="W174">
        <f>HYPERLINK("https://klasma.github.io/Logging_1882/klagomålsmail/A 39511-2019 FSC-klagomål mail.docx", "A 39511-2019")</f>
        <v/>
      </c>
      <c r="X174">
        <f>HYPERLINK("https://klasma.github.io/Logging_1882/tillsyn/A 39511-2019 tillsynsbegäran.docx", "A 39511-2019")</f>
        <v/>
      </c>
      <c r="Y174">
        <f>HYPERLINK("https://klasma.github.io/Logging_1882/tillsynsmail/A 39511-2019 tillsynsbegäran mail.docx", "A 39511-2019")</f>
        <v/>
      </c>
    </row>
    <row r="175" ht="15" customHeight="1">
      <c r="A175" t="inlineStr">
        <is>
          <t>A 39515-2019</t>
        </is>
      </c>
      <c r="B175" s="1" t="n">
        <v>43691</v>
      </c>
      <c r="C175" s="1" t="n">
        <v>45222</v>
      </c>
      <c r="D175" t="inlineStr">
        <is>
          <t>ÖREBRO LÄN</t>
        </is>
      </c>
      <c r="E175" t="inlineStr">
        <is>
          <t>ASKERSUND</t>
        </is>
      </c>
      <c r="F175" t="inlineStr">
        <is>
          <t>Sveaskog</t>
        </is>
      </c>
      <c r="G175" t="n">
        <v>2.4</v>
      </c>
      <c r="H175" t="n">
        <v>0</v>
      </c>
      <c r="I175" t="n">
        <v>0</v>
      </c>
      <c r="J175" t="n">
        <v>1</v>
      </c>
      <c r="K175" t="n">
        <v>0</v>
      </c>
      <c r="L175" t="n">
        <v>0</v>
      </c>
      <c r="M175" t="n">
        <v>0</v>
      </c>
      <c r="N175" t="n">
        <v>0</v>
      </c>
      <c r="O175" t="n">
        <v>1</v>
      </c>
      <c r="P175" t="n">
        <v>0</v>
      </c>
      <c r="Q175" t="n">
        <v>1</v>
      </c>
      <c r="R175" s="2" t="inlineStr">
        <is>
          <t>Svinrot</t>
        </is>
      </c>
      <c r="S175">
        <f>HYPERLINK("https://klasma.github.io/Logging_1882/artfynd/A 39515-2019 artfynd.xlsx", "A 39515-2019")</f>
        <v/>
      </c>
      <c r="T175">
        <f>HYPERLINK("https://klasma.github.io/Logging_1882/kartor/A 39515-2019 karta.png", "A 39515-2019")</f>
        <v/>
      </c>
      <c r="V175">
        <f>HYPERLINK("https://klasma.github.io/Logging_1882/klagomål/A 39515-2019 FSC-klagomål.docx", "A 39515-2019")</f>
        <v/>
      </c>
      <c r="W175">
        <f>HYPERLINK("https://klasma.github.io/Logging_1882/klagomålsmail/A 39515-2019 FSC-klagomål mail.docx", "A 39515-2019")</f>
        <v/>
      </c>
      <c r="X175">
        <f>HYPERLINK("https://klasma.github.io/Logging_1882/tillsyn/A 39515-2019 tillsynsbegäran.docx", "A 39515-2019")</f>
        <v/>
      </c>
      <c r="Y175">
        <f>HYPERLINK("https://klasma.github.io/Logging_1882/tillsynsmail/A 39515-2019 tillsynsbegäran mail.docx", "A 39515-2019")</f>
        <v/>
      </c>
    </row>
    <row r="176" ht="15" customHeight="1">
      <c r="A176" t="inlineStr">
        <is>
          <t>A 41505-2019</t>
        </is>
      </c>
      <c r="B176" s="1" t="n">
        <v>43696</v>
      </c>
      <c r="C176" s="1" t="n">
        <v>45222</v>
      </c>
      <c r="D176" t="inlineStr">
        <is>
          <t>ÖREBRO LÄN</t>
        </is>
      </c>
      <c r="E176" t="inlineStr">
        <is>
          <t>ÖREBRO</t>
        </is>
      </c>
      <c r="F176" t="inlineStr">
        <is>
          <t>Kommuner</t>
        </is>
      </c>
      <c r="G176" t="n">
        <v>2.9</v>
      </c>
      <c r="H176" t="n">
        <v>0</v>
      </c>
      <c r="I176" t="n">
        <v>0</v>
      </c>
      <c r="J176" t="n">
        <v>1</v>
      </c>
      <c r="K176" t="n">
        <v>0</v>
      </c>
      <c r="L176" t="n">
        <v>0</v>
      </c>
      <c r="M176" t="n">
        <v>0</v>
      </c>
      <c r="N176" t="n">
        <v>0</v>
      </c>
      <c r="O176" t="n">
        <v>1</v>
      </c>
      <c r="P176" t="n">
        <v>0</v>
      </c>
      <c r="Q176" t="n">
        <v>1</v>
      </c>
      <c r="R176" s="2" t="inlineStr">
        <is>
          <t>Tallticka</t>
        </is>
      </c>
      <c r="S176">
        <f>HYPERLINK("https://klasma.github.io/Logging_1880/artfynd/A 41505-2019 artfynd.xlsx", "A 41505-2019")</f>
        <v/>
      </c>
      <c r="T176">
        <f>HYPERLINK("https://klasma.github.io/Logging_1880/kartor/A 41505-2019 karta.png", "A 41505-2019")</f>
        <v/>
      </c>
      <c r="V176">
        <f>HYPERLINK("https://klasma.github.io/Logging_1880/klagomål/A 41505-2019 FSC-klagomål.docx", "A 41505-2019")</f>
        <v/>
      </c>
      <c r="W176">
        <f>HYPERLINK("https://klasma.github.io/Logging_1880/klagomålsmail/A 41505-2019 FSC-klagomål mail.docx", "A 41505-2019")</f>
        <v/>
      </c>
      <c r="X176">
        <f>HYPERLINK("https://klasma.github.io/Logging_1880/tillsyn/A 41505-2019 tillsynsbegäran.docx", "A 41505-2019")</f>
        <v/>
      </c>
      <c r="Y176">
        <f>HYPERLINK("https://klasma.github.io/Logging_1880/tillsynsmail/A 41505-2019 tillsynsbegäran mail.docx", "A 41505-2019")</f>
        <v/>
      </c>
    </row>
    <row r="177" ht="15" customHeight="1">
      <c r="A177" t="inlineStr">
        <is>
          <t>A 48244-2019</t>
        </is>
      </c>
      <c r="B177" s="1" t="n">
        <v>43726</v>
      </c>
      <c r="C177" s="1" t="n">
        <v>45222</v>
      </c>
      <c r="D177" t="inlineStr">
        <is>
          <t>ÖREBRO LÄN</t>
        </is>
      </c>
      <c r="E177" t="inlineStr">
        <is>
          <t>LAXÅ</t>
        </is>
      </c>
      <c r="G177" t="n">
        <v>6.2</v>
      </c>
      <c r="H177" t="n">
        <v>0</v>
      </c>
      <c r="I177" t="n">
        <v>1</v>
      </c>
      <c r="J177" t="n">
        <v>0</v>
      </c>
      <c r="K177" t="n">
        <v>0</v>
      </c>
      <c r="L177" t="n">
        <v>0</v>
      </c>
      <c r="M177" t="n">
        <v>0</v>
      </c>
      <c r="N177" t="n">
        <v>0</v>
      </c>
      <c r="O177" t="n">
        <v>0</v>
      </c>
      <c r="P177" t="n">
        <v>0</v>
      </c>
      <c r="Q177" t="n">
        <v>1</v>
      </c>
      <c r="R177" s="2" t="inlineStr">
        <is>
          <t>Dropptaggsvamp</t>
        </is>
      </c>
      <c r="S177">
        <f>HYPERLINK("https://klasma.github.io/Logging_1860/artfynd/A 48244-2019 artfynd.xlsx", "A 48244-2019")</f>
        <v/>
      </c>
      <c r="T177">
        <f>HYPERLINK("https://klasma.github.io/Logging_1860/kartor/A 48244-2019 karta.png", "A 48244-2019")</f>
        <v/>
      </c>
      <c r="V177">
        <f>HYPERLINK("https://klasma.github.io/Logging_1860/klagomål/A 48244-2019 FSC-klagomål.docx", "A 48244-2019")</f>
        <v/>
      </c>
      <c r="W177">
        <f>HYPERLINK("https://klasma.github.io/Logging_1860/klagomålsmail/A 48244-2019 FSC-klagomål mail.docx", "A 48244-2019")</f>
        <v/>
      </c>
      <c r="X177">
        <f>HYPERLINK("https://klasma.github.io/Logging_1860/tillsyn/A 48244-2019 tillsynsbegäran.docx", "A 48244-2019")</f>
        <v/>
      </c>
      <c r="Y177">
        <f>HYPERLINK("https://klasma.github.io/Logging_1860/tillsynsmail/A 48244-2019 tillsynsbegäran mail.docx", "A 48244-2019")</f>
        <v/>
      </c>
    </row>
    <row r="178" ht="15" customHeight="1">
      <c r="A178" t="inlineStr">
        <is>
          <t>A 52363-2019</t>
        </is>
      </c>
      <c r="B178" s="1" t="n">
        <v>43737</v>
      </c>
      <c r="C178" s="1" t="n">
        <v>45222</v>
      </c>
      <c r="D178" t="inlineStr">
        <is>
          <t>ÖREBRO LÄN</t>
        </is>
      </c>
      <c r="E178" t="inlineStr">
        <is>
          <t>LINDESBERG</t>
        </is>
      </c>
      <c r="G178" t="n">
        <v>5.3</v>
      </c>
      <c r="H178" t="n">
        <v>0</v>
      </c>
      <c r="I178" t="n">
        <v>0</v>
      </c>
      <c r="J178" t="n">
        <v>1</v>
      </c>
      <c r="K178" t="n">
        <v>0</v>
      </c>
      <c r="L178" t="n">
        <v>0</v>
      </c>
      <c r="M178" t="n">
        <v>0</v>
      </c>
      <c r="N178" t="n">
        <v>0</v>
      </c>
      <c r="O178" t="n">
        <v>1</v>
      </c>
      <c r="P178" t="n">
        <v>0</v>
      </c>
      <c r="Q178" t="n">
        <v>1</v>
      </c>
      <c r="R178" s="2" t="inlineStr">
        <is>
          <t>Ullticka</t>
        </is>
      </c>
      <c r="S178">
        <f>HYPERLINK("https://klasma.github.io/Logging_1885/artfynd/A 52363-2019 artfynd.xlsx", "A 52363-2019")</f>
        <v/>
      </c>
      <c r="T178">
        <f>HYPERLINK("https://klasma.github.io/Logging_1885/kartor/A 52363-2019 karta.png", "A 52363-2019")</f>
        <v/>
      </c>
      <c r="V178">
        <f>HYPERLINK("https://klasma.github.io/Logging_1885/klagomål/A 52363-2019 FSC-klagomål.docx", "A 52363-2019")</f>
        <v/>
      </c>
      <c r="W178">
        <f>HYPERLINK("https://klasma.github.io/Logging_1885/klagomålsmail/A 52363-2019 FSC-klagomål mail.docx", "A 52363-2019")</f>
        <v/>
      </c>
      <c r="X178">
        <f>HYPERLINK("https://klasma.github.io/Logging_1885/tillsyn/A 52363-2019 tillsynsbegäran.docx", "A 52363-2019")</f>
        <v/>
      </c>
      <c r="Y178">
        <f>HYPERLINK("https://klasma.github.io/Logging_1885/tillsynsmail/A 52363-2019 tillsynsbegäran mail.docx", "A 52363-2019")</f>
        <v/>
      </c>
    </row>
    <row r="179" ht="15" customHeight="1">
      <c r="A179" t="inlineStr">
        <is>
          <t>A 52821-2019</t>
        </is>
      </c>
      <c r="B179" s="1" t="n">
        <v>43746</v>
      </c>
      <c r="C179" s="1" t="n">
        <v>45222</v>
      </c>
      <c r="D179" t="inlineStr">
        <is>
          <t>ÖREBRO LÄN</t>
        </is>
      </c>
      <c r="E179" t="inlineStr">
        <is>
          <t>LINDESBERG</t>
        </is>
      </c>
      <c r="F179" t="inlineStr">
        <is>
          <t>Sveaskog</t>
        </is>
      </c>
      <c r="G179" t="n">
        <v>2.8</v>
      </c>
      <c r="H179" t="n">
        <v>0</v>
      </c>
      <c r="I179" t="n">
        <v>1</v>
      </c>
      <c r="J179" t="n">
        <v>0</v>
      </c>
      <c r="K179" t="n">
        <v>0</v>
      </c>
      <c r="L179" t="n">
        <v>0</v>
      </c>
      <c r="M179" t="n">
        <v>0</v>
      </c>
      <c r="N179" t="n">
        <v>0</v>
      </c>
      <c r="O179" t="n">
        <v>0</v>
      </c>
      <c r="P179" t="n">
        <v>0</v>
      </c>
      <c r="Q179" t="n">
        <v>1</v>
      </c>
      <c r="R179" s="2" t="inlineStr">
        <is>
          <t>Skogshakmossa</t>
        </is>
      </c>
      <c r="S179">
        <f>HYPERLINK("https://klasma.github.io/Logging_1885/artfynd/A 52821-2019 artfynd.xlsx", "A 52821-2019")</f>
        <v/>
      </c>
      <c r="T179">
        <f>HYPERLINK("https://klasma.github.io/Logging_1885/kartor/A 52821-2019 karta.png", "A 52821-2019")</f>
        <v/>
      </c>
      <c r="V179">
        <f>HYPERLINK("https://klasma.github.io/Logging_1885/klagomål/A 52821-2019 FSC-klagomål.docx", "A 52821-2019")</f>
        <v/>
      </c>
      <c r="W179">
        <f>HYPERLINK("https://klasma.github.io/Logging_1885/klagomålsmail/A 52821-2019 FSC-klagomål mail.docx", "A 52821-2019")</f>
        <v/>
      </c>
      <c r="X179">
        <f>HYPERLINK("https://klasma.github.io/Logging_1885/tillsyn/A 52821-2019 tillsynsbegäran.docx", "A 52821-2019")</f>
        <v/>
      </c>
      <c r="Y179">
        <f>HYPERLINK("https://klasma.github.io/Logging_1885/tillsynsmail/A 52821-2019 tillsynsbegäran mail.docx", "A 52821-2019")</f>
        <v/>
      </c>
    </row>
    <row r="180" ht="15" customHeight="1">
      <c r="A180" t="inlineStr">
        <is>
          <t>A 52662-2019</t>
        </is>
      </c>
      <c r="B180" s="1" t="n">
        <v>43746</v>
      </c>
      <c r="C180" s="1" t="n">
        <v>45222</v>
      </c>
      <c r="D180" t="inlineStr">
        <is>
          <t>ÖREBRO LÄN</t>
        </is>
      </c>
      <c r="E180" t="inlineStr">
        <is>
          <t>LINDESBERG</t>
        </is>
      </c>
      <c r="G180" t="n">
        <v>2</v>
      </c>
      <c r="H180" t="n">
        <v>1</v>
      </c>
      <c r="I180" t="n">
        <v>0</v>
      </c>
      <c r="J180" t="n">
        <v>0</v>
      </c>
      <c r="K180" t="n">
        <v>0</v>
      </c>
      <c r="L180" t="n">
        <v>0</v>
      </c>
      <c r="M180" t="n">
        <v>0</v>
      </c>
      <c r="N180" t="n">
        <v>0</v>
      </c>
      <c r="O180" t="n">
        <v>0</v>
      </c>
      <c r="P180" t="n">
        <v>0</v>
      </c>
      <c r="Q180" t="n">
        <v>1</v>
      </c>
      <c r="R180" s="2" t="inlineStr">
        <is>
          <t>Gullviva</t>
        </is>
      </c>
      <c r="S180">
        <f>HYPERLINK("https://klasma.github.io/Logging_1885/artfynd/A 52662-2019 artfynd.xlsx", "A 52662-2019")</f>
        <v/>
      </c>
      <c r="T180">
        <f>HYPERLINK("https://klasma.github.io/Logging_1885/kartor/A 52662-2019 karta.png", "A 52662-2019")</f>
        <v/>
      </c>
      <c r="V180">
        <f>HYPERLINK("https://klasma.github.io/Logging_1885/klagomål/A 52662-2019 FSC-klagomål.docx", "A 52662-2019")</f>
        <v/>
      </c>
      <c r="W180">
        <f>HYPERLINK("https://klasma.github.io/Logging_1885/klagomålsmail/A 52662-2019 FSC-klagomål mail.docx", "A 52662-2019")</f>
        <v/>
      </c>
      <c r="X180">
        <f>HYPERLINK("https://klasma.github.io/Logging_1885/tillsyn/A 52662-2019 tillsynsbegäran.docx", "A 52662-2019")</f>
        <v/>
      </c>
      <c r="Y180">
        <f>HYPERLINK("https://klasma.github.io/Logging_1885/tillsynsmail/A 52662-2019 tillsynsbegäran mail.docx", "A 52662-2019")</f>
        <v/>
      </c>
    </row>
    <row r="181" ht="15" customHeight="1">
      <c r="A181" t="inlineStr">
        <is>
          <t>A 56905-2019</t>
        </is>
      </c>
      <c r="B181" s="1" t="n">
        <v>43766</v>
      </c>
      <c r="C181" s="1" t="n">
        <v>45222</v>
      </c>
      <c r="D181" t="inlineStr">
        <is>
          <t>ÖREBRO LÄN</t>
        </is>
      </c>
      <c r="E181" t="inlineStr">
        <is>
          <t>LINDESBERG</t>
        </is>
      </c>
      <c r="F181" t="inlineStr">
        <is>
          <t>Sveaskog</t>
        </is>
      </c>
      <c r="G181" t="n">
        <v>3.4</v>
      </c>
      <c r="H181" t="n">
        <v>0</v>
      </c>
      <c r="I181" t="n">
        <v>0</v>
      </c>
      <c r="J181" t="n">
        <v>1</v>
      </c>
      <c r="K181" t="n">
        <v>0</v>
      </c>
      <c r="L181" t="n">
        <v>0</v>
      </c>
      <c r="M181" t="n">
        <v>0</v>
      </c>
      <c r="N181" t="n">
        <v>0</v>
      </c>
      <c r="O181" t="n">
        <v>1</v>
      </c>
      <c r="P181" t="n">
        <v>0</v>
      </c>
      <c r="Q181" t="n">
        <v>1</v>
      </c>
      <c r="R181" s="2" t="inlineStr">
        <is>
          <t>Motaggsvamp</t>
        </is>
      </c>
      <c r="S181">
        <f>HYPERLINK("https://klasma.github.io/Logging_1885/artfynd/A 56905-2019 artfynd.xlsx", "A 56905-2019")</f>
        <v/>
      </c>
      <c r="T181">
        <f>HYPERLINK("https://klasma.github.io/Logging_1885/kartor/A 56905-2019 karta.png", "A 56905-2019")</f>
        <v/>
      </c>
      <c r="V181">
        <f>HYPERLINK("https://klasma.github.io/Logging_1885/klagomål/A 56905-2019 FSC-klagomål.docx", "A 56905-2019")</f>
        <v/>
      </c>
      <c r="W181">
        <f>HYPERLINK("https://klasma.github.io/Logging_1885/klagomålsmail/A 56905-2019 FSC-klagomål mail.docx", "A 56905-2019")</f>
        <v/>
      </c>
      <c r="X181">
        <f>HYPERLINK("https://klasma.github.io/Logging_1885/tillsyn/A 56905-2019 tillsynsbegäran.docx", "A 56905-2019")</f>
        <v/>
      </c>
      <c r="Y181">
        <f>HYPERLINK("https://klasma.github.io/Logging_1885/tillsynsmail/A 56905-2019 tillsynsbegäran mail.docx", "A 56905-2019")</f>
        <v/>
      </c>
    </row>
    <row r="182" ht="15" customHeight="1">
      <c r="A182" t="inlineStr">
        <is>
          <t>A 58472-2019</t>
        </is>
      </c>
      <c r="B182" s="1" t="n">
        <v>43773</v>
      </c>
      <c r="C182" s="1" t="n">
        <v>45222</v>
      </c>
      <c r="D182" t="inlineStr">
        <is>
          <t>ÖREBRO LÄN</t>
        </is>
      </c>
      <c r="E182" t="inlineStr">
        <is>
          <t>LINDESBERG</t>
        </is>
      </c>
      <c r="F182" t="inlineStr">
        <is>
          <t>Sveaskog</t>
        </is>
      </c>
      <c r="G182" t="n">
        <v>2.1</v>
      </c>
      <c r="H182" t="n">
        <v>1</v>
      </c>
      <c r="I182" t="n">
        <v>0</v>
      </c>
      <c r="J182" t="n">
        <v>0</v>
      </c>
      <c r="K182" t="n">
        <v>0</v>
      </c>
      <c r="L182" t="n">
        <v>0</v>
      </c>
      <c r="M182" t="n">
        <v>0</v>
      </c>
      <c r="N182" t="n">
        <v>0</v>
      </c>
      <c r="O182" t="n">
        <v>0</v>
      </c>
      <c r="P182" t="n">
        <v>0</v>
      </c>
      <c r="Q182" t="n">
        <v>1</v>
      </c>
      <c r="R182" s="2" t="inlineStr">
        <is>
          <t>Vanlig snok</t>
        </is>
      </c>
      <c r="S182">
        <f>HYPERLINK("https://klasma.github.io/Logging_1885/artfynd/A 58472-2019 artfynd.xlsx", "A 58472-2019")</f>
        <v/>
      </c>
      <c r="T182">
        <f>HYPERLINK("https://klasma.github.io/Logging_1885/kartor/A 58472-2019 karta.png", "A 58472-2019")</f>
        <v/>
      </c>
      <c r="V182">
        <f>HYPERLINK("https://klasma.github.io/Logging_1885/klagomål/A 58472-2019 FSC-klagomål.docx", "A 58472-2019")</f>
        <v/>
      </c>
      <c r="W182">
        <f>HYPERLINK("https://klasma.github.io/Logging_1885/klagomålsmail/A 58472-2019 FSC-klagomål mail.docx", "A 58472-2019")</f>
        <v/>
      </c>
      <c r="X182">
        <f>HYPERLINK("https://klasma.github.io/Logging_1885/tillsyn/A 58472-2019 tillsynsbegäran.docx", "A 58472-2019")</f>
        <v/>
      </c>
      <c r="Y182">
        <f>HYPERLINK("https://klasma.github.io/Logging_1885/tillsynsmail/A 58472-2019 tillsynsbegäran mail.docx", "A 58472-2019")</f>
        <v/>
      </c>
    </row>
    <row r="183" ht="15" customHeight="1">
      <c r="A183" t="inlineStr">
        <is>
          <t>A 60270-2019</t>
        </is>
      </c>
      <c r="B183" s="1" t="n">
        <v>43780</v>
      </c>
      <c r="C183" s="1" t="n">
        <v>45222</v>
      </c>
      <c r="D183" t="inlineStr">
        <is>
          <t>ÖREBRO LÄN</t>
        </is>
      </c>
      <c r="E183" t="inlineStr">
        <is>
          <t>HÄLLEFORS</t>
        </is>
      </c>
      <c r="F183" t="inlineStr">
        <is>
          <t>Bergvik skog väst AB</t>
        </is>
      </c>
      <c r="G183" t="n">
        <v>3.1</v>
      </c>
      <c r="H183" t="n">
        <v>0</v>
      </c>
      <c r="I183" t="n">
        <v>0</v>
      </c>
      <c r="J183" t="n">
        <v>1</v>
      </c>
      <c r="K183" t="n">
        <v>0</v>
      </c>
      <c r="L183" t="n">
        <v>0</v>
      </c>
      <c r="M183" t="n">
        <v>0</v>
      </c>
      <c r="N183" t="n">
        <v>0</v>
      </c>
      <c r="O183" t="n">
        <v>1</v>
      </c>
      <c r="P183" t="n">
        <v>0</v>
      </c>
      <c r="Q183" t="n">
        <v>1</v>
      </c>
      <c r="R183" s="2" t="inlineStr">
        <is>
          <t>Brunklöver</t>
        </is>
      </c>
      <c r="S183">
        <f>HYPERLINK("https://klasma.github.io/Logging_1863/artfynd/A 60270-2019 artfynd.xlsx", "A 60270-2019")</f>
        <v/>
      </c>
      <c r="T183">
        <f>HYPERLINK("https://klasma.github.io/Logging_1863/kartor/A 60270-2019 karta.png", "A 60270-2019")</f>
        <v/>
      </c>
      <c r="V183">
        <f>HYPERLINK("https://klasma.github.io/Logging_1863/klagomål/A 60270-2019 FSC-klagomål.docx", "A 60270-2019")</f>
        <v/>
      </c>
      <c r="W183">
        <f>HYPERLINK("https://klasma.github.io/Logging_1863/klagomålsmail/A 60270-2019 FSC-klagomål mail.docx", "A 60270-2019")</f>
        <v/>
      </c>
      <c r="X183">
        <f>HYPERLINK("https://klasma.github.io/Logging_1863/tillsyn/A 60270-2019 tillsynsbegäran.docx", "A 60270-2019")</f>
        <v/>
      </c>
      <c r="Y183">
        <f>HYPERLINK("https://klasma.github.io/Logging_1863/tillsynsmail/A 60270-2019 tillsynsbegäran mail.docx", "A 60270-2019")</f>
        <v/>
      </c>
    </row>
    <row r="184" ht="15" customHeight="1">
      <c r="A184" t="inlineStr">
        <is>
          <t>A 1512-2020</t>
        </is>
      </c>
      <c r="B184" s="1" t="n">
        <v>43826</v>
      </c>
      <c r="C184" s="1" t="n">
        <v>45222</v>
      </c>
      <c r="D184" t="inlineStr">
        <is>
          <t>ÖREBRO LÄN</t>
        </is>
      </c>
      <c r="E184" t="inlineStr">
        <is>
          <t>ÖREBRO</t>
        </is>
      </c>
      <c r="G184" t="n">
        <v>6</v>
      </c>
      <c r="H184" t="n">
        <v>1</v>
      </c>
      <c r="I184" t="n">
        <v>0</v>
      </c>
      <c r="J184" t="n">
        <v>0</v>
      </c>
      <c r="K184" t="n">
        <v>0</v>
      </c>
      <c r="L184" t="n">
        <v>0</v>
      </c>
      <c r="M184" t="n">
        <v>0</v>
      </c>
      <c r="N184" t="n">
        <v>0</v>
      </c>
      <c r="O184" t="n">
        <v>0</v>
      </c>
      <c r="P184" t="n">
        <v>0</v>
      </c>
      <c r="Q184" t="n">
        <v>1</v>
      </c>
      <c r="R184" s="2" t="inlineStr">
        <is>
          <t>Revlummer</t>
        </is>
      </c>
      <c r="S184">
        <f>HYPERLINK("https://klasma.github.io/Logging_1880/artfynd/A 1512-2020 artfynd.xlsx", "A 1512-2020")</f>
        <v/>
      </c>
      <c r="T184">
        <f>HYPERLINK("https://klasma.github.io/Logging_1880/kartor/A 1512-2020 karta.png", "A 1512-2020")</f>
        <v/>
      </c>
      <c r="V184">
        <f>HYPERLINK("https://klasma.github.io/Logging_1880/klagomål/A 1512-2020 FSC-klagomål.docx", "A 1512-2020")</f>
        <v/>
      </c>
      <c r="W184">
        <f>HYPERLINK("https://klasma.github.io/Logging_1880/klagomålsmail/A 1512-2020 FSC-klagomål mail.docx", "A 1512-2020")</f>
        <v/>
      </c>
      <c r="X184">
        <f>HYPERLINK("https://klasma.github.io/Logging_1880/tillsyn/A 1512-2020 tillsynsbegäran.docx", "A 1512-2020")</f>
        <v/>
      </c>
      <c r="Y184">
        <f>HYPERLINK("https://klasma.github.io/Logging_1880/tillsynsmail/A 1512-2020 tillsynsbegäran mail.docx", "A 1512-2020")</f>
        <v/>
      </c>
    </row>
    <row r="185" ht="15" customHeight="1">
      <c r="A185" t="inlineStr">
        <is>
          <t>A 2697-2020</t>
        </is>
      </c>
      <c r="B185" s="1" t="n">
        <v>43843</v>
      </c>
      <c r="C185" s="1" t="n">
        <v>45222</v>
      </c>
      <c r="D185" t="inlineStr">
        <is>
          <t>ÖREBRO LÄN</t>
        </is>
      </c>
      <c r="E185" t="inlineStr">
        <is>
          <t>ÖREBRO</t>
        </is>
      </c>
      <c r="G185" t="n">
        <v>5</v>
      </c>
      <c r="H185" t="n">
        <v>0</v>
      </c>
      <c r="I185" t="n">
        <v>1</v>
      </c>
      <c r="J185" t="n">
        <v>0</v>
      </c>
      <c r="K185" t="n">
        <v>0</v>
      </c>
      <c r="L185" t="n">
        <v>0</v>
      </c>
      <c r="M185" t="n">
        <v>0</v>
      </c>
      <c r="N185" t="n">
        <v>0</v>
      </c>
      <c r="O185" t="n">
        <v>0</v>
      </c>
      <c r="P185" t="n">
        <v>0</v>
      </c>
      <c r="Q185" t="n">
        <v>1</v>
      </c>
      <c r="R185" s="2" t="inlineStr">
        <is>
          <t>Springkorn</t>
        </is>
      </c>
      <c r="S185">
        <f>HYPERLINK("https://klasma.github.io/Logging_1880/artfynd/A 2697-2020 artfynd.xlsx", "A 2697-2020")</f>
        <v/>
      </c>
      <c r="T185">
        <f>HYPERLINK("https://klasma.github.io/Logging_1880/kartor/A 2697-2020 karta.png", "A 2697-2020")</f>
        <v/>
      </c>
      <c r="V185">
        <f>HYPERLINK("https://klasma.github.io/Logging_1880/klagomål/A 2697-2020 FSC-klagomål.docx", "A 2697-2020")</f>
        <v/>
      </c>
      <c r="W185">
        <f>HYPERLINK("https://klasma.github.io/Logging_1880/klagomålsmail/A 2697-2020 FSC-klagomål mail.docx", "A 2697-2020")</f>
        <v/>
      </c>
      <c r="X185">
        <f>HYPERLINK("https://klasma.github.io/Logging_1880/tillsyn/A 2697-2020 tillsynsbegäran.docx", "A 2697-2020")</f>
        <v/>
      </c>
      <c r="Y185">
        <f>HYPERLINK("https://klasma.github.io/Logging_1880/tillsynsmail/A 2697-2020 tillsynsbegäran mail.docx", "A 2697-2020")</f>
        <v/>
      </c>
    </row>
    <row r="186" ht="15" customHeight="1">
      <c r="A186" t="inlineStr">
        <is>
          <t>A 4761-2020</t>
        </is>
      </c>
      <c r="B186" s="1" t="n">
        <v>43858</v>
      </c>
      <c r="C186" s="1" t="n">
        <v>45222</v>
      </c>
      <c r="D186" t="inlineStr">
        <is>
          <t>ÖREBRO LÄN</t>
        </is>
      </c>
      <c r="E186" t="inlineStr">
        <is>
          <t>ÖREBRO</t>
        </is>
      </c>
      <c r="F186" t="inlineStr">
        <is>
          <t>Kommuner</t>
        </is>
      </c>
      <c r="G186" t="n">
        <v>2.3</v>
      </c>
      <c r="H186" t="n">
        <v>0</v>
      </c>
      <c r="I186" t="n">
        <v>1</v>
      </c>
      <c r="J186" t="n">
        <v>0</v>
      </c>
      <c r="K186" t="n">
        <v>0</v>
      </c>
      <c r="L186" t="n">
        <v>0</v>
      </c>
      <c r="M186" t="n">
        <v>0</v>
      </c>
      <c r="N186" t="n">
        <v>0</v>
      </c>
      <c r="O186" t="n">
        <v>0</v>
      </c>
      <c r="P186" t="n">
        <v>0</v>
      </c>
      <c r="Q186" t="n">
        <v>1</v>
      </c>
      <c r="R186" s="2" t="inlineStr">
        <is>
          <t>Zontaggsvamp</t>
        </is>
      </c>
      <c r="S186">
        <f>HYPERLINK("https://klasma.github.io/Logging_1880/artfynd/A 4761-2020 artfynd.xlsx", "A 4761-2020")</f>
        <v/>
      </c>
      <c r="T186">
        <f>HYPERLINK("https://klasma.github.io/Logging_1880/kartor/A 4761-2020 karta.png", "A 4761-2020")</f>
        <v/>
      </c>
      <c r="V186">
        <f>HYPERLINK("https://klasma.github.io/Logging_1880/klagomål/A 4761-2020 FSC-klagomål.docx", "A 4761-2020")</f>
        <v/>
      </c>
      <c r="W186">
        <f>HYPERLINK("https://klasma.github.io/Logging_1880/klagomålsmail/A 4761-2020 FSC-klagomål mail.docx", "A 4761-2020")</f>
        <v/>
      </c>
      <c r="X186">
        <f>HYPERLINK("https://klasma.github.io/Logging_1880/tillsyn/A 4761-2020 tillsynsbegäran.docx", "A 4761-2020")</f>
        <v/>
      </c>
      <c r="Y186">
        <f>HYPERLINK("https://klasma.github.io/Logging_1880/tillsynsmail/A 4761-2020 tillsynsbegäran mail.docx", "A 4761-2020")</f>
        <v/>
      </c>
    </row>
    <row r="187" ht="15" customHeight="1">
      <c r="A187" t="inlineStr">
        <is>
          <t>A 10540-2020</t>
        </is>
      </c>
      <c r="B187" s="1" t="n">
        <v>43886</v>
      </c>
      <c r="C187" s="1" t="n">
        <v>45222</v>
      </c>
      <c r="D187" t="inlineStr">
        <is>
          <t>ÖREBRO LÄN</t>
        </is>
      </c>
      <c r="E187" t="inlineStr">
        <is>
          <t>ASKERSUND</t>
        </is>
      </c>
      <c r="G187" t="n">
        <v>0.8</v>
      </c>
      <c r="H187" t="n">
        <v>0</v>
      </c>
      <c r="I187" t="n">
        <v>0</v>
      </c>
      <c r="J187" t="n">
        <v>1</v>
      </c>
      <c r="K187" t="n">
        <v>0</v>
      </c>
      <c r="L187" t="n">
        <v>0</v>
      </c>
      <c r="M187" t="n">
        <v>0</v>
      </c>
      <c r="N187" t="n">
        <v>0</v>
      </c>
      <c r="O187" t="n">
        <v>1</v>
      </c>
      <c r="P187" t="n">
        <v>0</v>
      </c>
      <c r="Q187" t="n">
        <v>1</v>
      </c>
      <c r="R187" s="2" t="inlineStr">
        <is>
          <t>Slåtterfibbla</t>
        </is>
      </c>
      <c r="S187">
        <f>HYPERLINK("https://klasma.github.io/Logging_1882/artfynd/A 10540-2020 artfynd.xlsx", "A 10540-2020")</f>
        <v/>
      </c>
      <c r="T187">
        <f>HYPERLINK("https://klasma.github.io/Logging_1882/kartor/A 10540-2020 karta.png", "A 10540-2020")</f>
        <v/>
      </c>
      <c r="V187">
        <f>HYPERLINK("https://klasma.github.io/Logging_1882/klagomål/A 10540-2020 FSC-klagomål.docx", "A 10540-2020")</f>
        <v/>
      </c>
      <c r="W187">
        <f>HYPERLINK("https://klasma.github.io/Logging_1882/klagomålsmail/A 10540-2020 FSC-klagomål mail.docx", "A 10540-2020")</f>
        <v/>
      </c>
      <c r="X187">
        <f>HYPERLINK("https://klasma.github.io/Logging_1882/tillsyn/A 10540-2020 tillsynsbegäran.docx", "A 10540-2020")</f>
        <v/>
      </c>
      <c r="Y187">
        <f>HYPERLINK("https://klasma.github.io/Logging_1882/tillsynsmail/A 10540-2020 tillsynsbegäran mail.docx", "A 10540-2020")</f>
        <v/>
      </c>
    </row>
    <row r="188" ht="15" customHeight="1">
      <c r="A188" t="inlineStr">
        <is>
          <t>A 12383-2020</t>
        </is>
      </c>
      <c r="B188" s="1" t="n">
        <v>43896</v>
      </c>
      <c r="C188" s="1" t="n">
        <v>45222</v>
      </c>
      <c r="D188" t="inlineStr">
        <is>
          <t>ÖREBRO LÄN</t>
        </is>
      </c>
      <c r="E188" t="inlineStr">
        <is>
          <t>LJUSNARSBERG</t>
        </is>
      </c>
      <c r="G188" t="n">
        <v>3.2</v>
      </c>
      <c r="H188" t="n">
        <v>0</v>
      </c>
      <c r="I188" t="n">
        <v>0</v>
      </c>
      <c r="J188" t="n">
        <v>1</v>
      </c>
      <c r="K188" t="n">
        <v>0</v>
      </c>
      <c r="L188" t="n">
        <v>0</v>
      </c>
      <c r="M188" t="n">
        <v>0</v>
      </c>
      <c r="N188" t="n">
        <v>0</v>
      </c>
      <c r="O188" t="n">
        <v>1</v>
      </c>
      <c r="P188" t="n">
        <v>0</v>
      </c>
      <c r="Q188" t="n">
        <v>1</v>
      </c>
      <c r="R188" s="2" t="inlineStr">
        <is>
          <t>Vedtrappmossa</t>
        </is>
      </c>
      <c r="S188">
        <f>HYPERLINK("https://klasma.github.io/Logging_1864/artfynd/A 12383-2020 artfynd.xlsx", "A 12383-2020")</f>
        <v/>
      </c>
      <c r="T188">
        <f>HYPERLINK("https://klasma.github.io/Logging_1864/kartor/A 12383-2020 karta.png", "A 12383-2020")</f>
        <v/>
      </c>
      <c r="V188">
        <f>HYPERLINK("https://klasma.github.io/Logging_1864/klagomål/A 12383-2020 FSC-klagomål.docx", "A 12383-2020")</f>
        <v/>
      </c>
      <c r="W188">
        <f>HYPERLINK("https://klasma.github.io/Logging_1864/klagomålsmail/A 12383-2020 FSC-klagomål mail.docx", "A 12383-2020")</f>
        <v/>
      </c>
      <c r="X188">
        <f>HYPERLINK("https://klasma.github.io/Logging_1864/tillsyn/A 12383-2020 tillsynsbegäran.docx", "A 12383-2020")</f>
        <v/>
      </c>
      <c r="Y188">
        <f>HYPERLINK("https://klasma.github.io/Logging_1864/tillsynsmail/A 12383-2020 tillsynsbegäran mail.docx", "A 12383-2020")</f>
        <v/>
      </c>
    </row>
    <row r="189" ht="15" customHeight="1">
      <c r="A189" t="inlineStr">
        <is>
          <t>A 13831-2020</t>
        </is>
      </c>
      <c r="B189" s="1" t="n">
        <v>43905</v>
      </c>
      <c r="C189" s="1" t="n">
        <v>45222</v>
      </c>
      <c r="D189" t="inlineStr">
        <is>
          <t>ÖREBRO LÄN</t>
        </is>
      </c>
      <c r="E189" t="inlineStr">
        <is>
          <t>ÖREBRO</t>
        </is>
      </c>
      <c r="G189" t="n">
        <v>7.5</v>
      </c>
      <c r="H189" t="n">
        <v>0</v>
      </c>
      <c r="I189" t="n">
        <v>1</v>
      </c>
      <c r="J189" t="n">
        <v>0</v>
      </c>
      <c r="K189" t="n">
        <v>0</v>
      </c>
      <c r="L189" t="n">
        <v>0</v>
      </c>
      <c r="M189" t="n">
        <v>0</v>
      </c>
      <c r="N189" t="n">
        <v>0</v>
      </c>
      <c r="O189" t="n">
        <v>0</v>
      </c>
      <c r="P189" t="n">
        <v>0</v>
      </c>
      <c r="Q189" t="n">
        <v>1</v>
      </c>
      <c r="R189" s="2" t="inlineStr">
        <is>
          <t>Vätteros</t>
        </is>
      </c>
      <c r="S189">
        <f>HYPERLINK("https://klasma.github.io/Logging_1880/artfynd/A 13831-2020 artfynd.xlsx", "A 13831-2020")</f>
        <v/>
      </c>
      <c r="T189">
        <f>HYPERLINK("https://klasma.github.io/Logging_1880/kartor/A 13831-2020 karta.png", "A 13831-2020")</f>
        <v/>
      </c>
      <c r="V189">
        <f>HYPERLINK("https://klasma.github.io/Logging_1880/klagomål/A 13831-2020 FSC-klagomål.docx", "A 13831-2020")</f>
        <v/>
      </c>
      <c r="W189">
        <f>HYPERLINK("https://klasma.github.io/Logging_1880/klagomålsmail/A 13831-2020 FSC-klagomål mail.docx", "A 13831-2020")</f>
        <v/>
      </c>
      <c r="X189">
        <f>HYPERLINK("https://klasma.github.io/Logging_1880/tillsyn/A 13831-2020 tillsynsbegäran.docx", "A 13831-2020")</f>
        <v/>
      </c>
      <c r="Y189">
        <f>HYPERLINK("https://klasma.github.io/Logging_1880/tillsynsmail/A 13831-2020 tillsynsbegäran mail.docx", "A 13831-2020")</f>
        <v/>
      </c>
    </row>
    <row r="190" ht="15" customHeight="1">
      <c r="A190" t="inlineStr">
        <is>
          <t>A 18289-2020</t>
        </is>
      </c>
      <c r="B190" s="1" t="n">
        <v>43928</v>
      </c>
      <c r="C190" s="1" t="n">
        <v>45222</v>
      </c>
      <c r="D190" t="inlineStr">
        <is>
          <t>ÖREBRO LÄN</t>
        </is>
      </c>
      <c r="E190" t="inlineStr">
        <is>
          <t>ASKERSUND</t>
        </is>
      </c>
      <c r="F190" t="inlineStr">
        <is>
          <t>Sveaskog</t>
        </is>
      </c>
      <c r="G190" t="n">
        <v>3</v>
      </c>
      <c r="H190" t="n">
        <v>0</v>
      </c>
      <c r="I190" t="n">
        <v>0</v>
      </c>
      <c r="J190" t="n">
        <v>1</v>
      </c>
      <c r="K190" t="n">
        <v>0</v>
      </c>
      <c r="L190" t="n">
        <v>0</v>
      </c>
      <c r="M190" t="n">
        <v>0</v>
      </c>
      <c r="N190" t="n">
        <v>0</v>
      </c>
      <c r="O190" t="n">
        <v>1</v>
      </c>
      <c r="P190" t="n">
        <v>0</v>
      </c>
      <c r="Q190" t="n">
        <v>1</v>
      </c>
      <c r="R190" s="2" t="inlineStr">
        <is>
          <t>Motaggsvamp</t>
        </is>
      </c>
      <c r="S190">
        <f>HYPERLINK("https://klasma.github.io/Logging_1882/artfynd/A 18289-2020 artfynd.xlsx", "A 18289-2020")</f>
        <v/>
      </c>
      <c r="T190">
        <f>HYPERLINK("https://klasma.github.io/Logging_1882/kartor/A 18289-2020 karta.png", "A 18289-2020")</f>
        <v/>
      </c>
      <c r="V190">
        <f>HYPERLINK("https://klasma.github.io/Logging_1882/klagomål/A 18289-2020 FSC-klagomål.docx", "A 18289-2020")</f>
        <v/>
      </c>
      <c r="W190">
        <f>HYPERLINK("https://klasma.github.io/Logging_1882/klagomålsmail/A 18289-2020 FSC-klagomål mail.docx", "A 18289-2020")</f>
        <v/>
      </c>
      <c r="X190">
        <f>HYPERLINK("https://klasma.github.io/Logging_1882/tillsyn/A 18289-2020 tillsynsbegäran.docx", "A 18289-2020")</f>
        <v/>
      </c>
      <c r="Y190">
        <f>HYPERLINK("https://klasma.github.io/Logging_1882/tillsynsmail/A 18289-2020 tillsynsbegäran mail.docx", "A 18289-2020")</f>
        <v/>
      </c>
    </row>
    <row r="191" ht="15" customHeight="1">
      <c r="A191" t="inlineStr">
        <is>
          <t>A 18287-2020</t>
        </is>
      </c>
      <c r="B191" s="1" t="n">
        <v>43928</v>
      </c>
      <c r="C191" s="1" t="n">
        <v>45222</v>
      </c>
      <c r="D191" t="inlineStr">
        <is>
          <t>ÖREBRO LÄN</t>
        </is>
      </c>
      <c r="E191" t="inlineStr">
        <is>
          <t>ASKERSUND</t>
        </is>
      </c>
      <c r="F191" t="inlineStr">
        <is>
          <t>Sveaskog</t>
        </is>
      </c>
      <c r="G191" t="n">
        <v>1.9</v>
      </c>
      <c r="H191" t="n">
        <v>0</v>
      </c>
      <c r="I191" t="n">
        <v>0</v>
      </c>
      <c r="J191" t="n">
        <v>0</v>
      </c>
      <c r="K191" t="n">
        <v>0</v>
      </c>
      <c r="L191" t="n">
        <v>0</v>
      </c>
      <c r="M191" t="n">
        <v>1</v>
      </c>
      <c r="N191" t="n">
        <v>0</v>
      </c>
      <c r="O191" t="n">
        <v>1</v>
      </c>
      <c r="P191" t="n">
        <v>1</v>
      </c>
      <c r="Q191" t="n">
        <v>1</v>
      </c>
      <c r="R191" s="2" t="inlineStr">
        <is>
          <t>Skogsalm</t>
        </is>
      </c>
      <c r="S191">
        <f>HYPERLINK("https://klasma.github.io/Logging_1882/artfynd/A 18287-2020 artfynd.xlsx", "A 18287-2020")</f>
        <v/>
      </c>
      <c r="T191">
        <f>HYPERLINK("https://klasma.github.io/Logging_1882/kartor/A 18287-2020 karta.png", "A 18287-2020")</f>
        <v/>
      </c>
      <c r="V191">
        <f>HYPERLINK("https://klasma.github.io/Logging_1882/klagomål/A 18287-2020 FSC-klagomål.docx", "A 18287-2020")</f>
        <v/>
      </c>
      <c r="W191">
        <f>HYPERLINK("https://klasma.github.io/Logging_1882/klagomålsmail/A 18287-2020 FSC-klagomål mail.docx", "A 18287-2020")</f>
        <v/>
      </c>
      <c r="X191">
        <f>HYPERLINK("https://klasma.github.io/Logging_1882/tillsyn/A 18287-2020 tillsynsbegäran.docx", "A 18287-2020")</f>
        <v/>
      </c>
      <c r="Y191">
        <f>HYPERLINK("https://klasma.github.io/Logging_1882/tillsynsmail/A 18287-2020 tillsynsbegäran mail.docx", "A 18287-2020")</f>
        <v/>
      </c>
    </row>
    <row r="192" ht="15" customHeight="1">
      <c r="A192" t="inlineStr">
        <is>
          <t>A 19090-2020</t>
        </is>
      </c>
      <c r="B192" s="1" t="n">
        <v>43936</v>
      </c>
      <c r="C192" s="1" t="n">
        <v>45222</v>
      </c>
      <c r="D192" t="inlineStr">
        <is>
          <t>ÖREBRO LÄN</t>
        </is>
      </c>
      <c r="E192" t="inlineStr">
        <is>
          <t>LINDESBERG</t>
        </is>
      </c>
      <c r="F192" t="inlineStr">
        <is>
          <t>Sveaskog</t>
        </is>
      </c>
      <c r="G192" t="n">
        <v>12.2</v>
      </c>
      <c r="H192" t="n">
        <v>0</v>
      </c>
      <c r="I192" t="n">
        <v>0</v>
      </c>
      <c r="J192" t="n">
        <v>0</v>
      </c>
      <c r="K192" t="n">
        <v>1</v>
      </c>
      <c r="L192" t="n">
        <v>0</v>
      </c>
      <c r="M192" t="n">
        <v>0</v>
      </c>
      <c r="N192" t="n">
        <v>0</v>
      </c>
      <c r="O192" t="n">
        <v>1</v>
      </c>
      <c r="P192" t="n">
        <v>1</v>
      </c>
      <c r="Q192" t="n">
        <v>1</v>
      </c>
      <c r="R192" s="2" t="inlineStr">
        <is>
          <t>Smal skuggbagge</t>
        </is>
      </c>
      <c r="S192">
        <f>HYPERLINK("https://klasma.github.io/Logging_1885/artfynd/A 19090-2020 artfynd.xlsx", "A 19090-2020")</f>
        <v/>
      </c>
      <c r="T192">
        <f>HYPERLINK("https://klasma.github.io/Logging_1885/kartor/A 19090-2020 karta.png", "A 19090-2020")</f>
        <v/>
      </c>
      <c r="V192">
        <f>HYPERLINK("https://klasma.github.io/Logging_1885/klagomål/A 19090-2020 FSC-klagomål.docx", "A 19090-2020")</f>
        <v/>
      </c>
      <c r="W192">
        <f>HYPERLINK("https://klasma.github.io/Logging_1885/klagomålsmail/A 19090-2020 FSC-klagomål mail.docx", "A 19090-2020")</f>
        <v/>
      </c>
      <c r="X192">
        <f>HYPERLINK("https://klasma.github.io/Logging_1885/tillsyn/A 19090-2020 tillsynsbegäran.docx", "A 19090-2020")</f>
        <v/>
      </c>
      <c r="Y192">
        <f>HYPERLINK("https://klasma.github.io/Logging_1885/tillsynsmail/A 19090-2020 tillsynsbegäran mail.docx", "A 19090-2020")</f>
        <v/>
      </c>
    </row>
    <row r="193" ht="15" customHeight="1">
      <c r="A193" t="inlineStr">
        <is>
          <t>A 20974-2020</t>
        </is>
      </c>
      <c r="B193" s="1" t="n">
        <v>43950</v>
      </c>
      <c r="C193" s="1" t="n">
        <v>45222</v>
      </c>
      <c r="D193" t="inlineStr">
        <is>
          <t>ÖREBRO LÄN</t>
        </is>
      </c>
      <c r="E193" t="inlineStr">
        <is>
          <t>HALLSBERG</t>
        </is>
      </c>
      <c r="F193" t="inlineStr">
        <is>
          <t>Sveaskog</t>
        </is>
      </c>
      <c r="G193" t="n">
        <v>1</v>
      </c>
      <c r="H193" t="n">
        <v>0</v>
      </c>
      <c r="I193" t="n">
        <v>0</v>
      </c>
      <c r="J193" t="n">
        <v>0</v>
      </c>
      <c r="K193" t="n">
        <v>0</v>
      </c>
      <c r="L193" t="n">
        <v>1</v>
      </c>
      <c r="M193" t="n">
        <v>0</v>
      </c>
      <c r="N193" t="n">
        <v>0</v>
      </c>
      <c r="O193" t="n">
        <v>1</v>
      </c>
      <c r="P193" t="n">
        <v>1</v>
      </c>
      <c r="Q193" t="n">
        <v>1</v>
      </c>
      <c r="R193" s="2" t="inlineStr">
        <is>
          <t>Ask</t>
        </is>
      </c>
      <c r="S193">
        <f>HYPERLINK("https://klasma.github.io/Logging_1861/artfynd/A 20974-2020 artfynd.xlsx", "A 20974-2020")</f>
        <v/>
      </c>
      <c r="T193">
        <f>HYPERLINK("https://klasma.github.io/Logging_1861/kartor/A 20974-2020 karta.png", "A 20974-2020")</f>
        <v/>
      </c>
      <c r="V193">
        <f>HYPERLINK("https://klasma.github.io/Logging_1861/klagomål/A 20974-2020 FSC-klagomål.docx", "A 20974-2020")</f>
        <v/>
      </c>
      <c r="W193">
        <f>HYPERLINK("https://klasma.github.io/Logging_1861/klagomålsmail/A 20974-2020 FSC-klagomål mail.docx", "A 20974-2020")</f>
        <v/>
      </c>
      <c r="X193">
        <f>HYPERLINK("https://klasma.github.io/Logging_1861/tillsyn/A 20974-2020 tillsynsbegäran.docx", "A 20974-2020")</f>
        <v/>
      </c>
      <c r="Y193">
        <f>HYPERLINK("https://klasma.github.io/Logging_1861/tillsynsmail/A 20974-2020 tillsynsbegäran mail.docx", "A 20974-2020")</f>
        <v/>
      </c>
    </row>
    <row r="194" ht="15" customHeight="1">
      <c r="A194" t="inlineStr">
        <is>
          <t>A 21860-2020</t>
        </is>
      </c>
      <c r="B194" s="1" t="n">
        <v>43958</v>
      </c>
      <c r="C194" s="1" t="n">
        <v>45222</v>
      </c>
      <c r="D194" t="inlineStr">
        <is>
          <t>ÖREBRO LÄN</t>
        </is>
      </c>
      <c r="E194" t="inlineStr">
        <is>
          <t>HÄLLEFORS</t>
        </is>
      </c>
      <c r="F194" t="inlineStr">
        <is>
          <t>Bergvik skog väst AB</t>
        </is>
      </c>
      <c r="G194" t="n">
        <v>2.6</v>
      </c>
      <c r="H194" t="n">
        <v>0</v>
      </c>
      <c r="I194" t="n">
        <v>0</v>
      </c>
      <c r="J194" t="n">
        <v>1</v>
      </c>
      <c r="K194" t="n">
        <v>0</v>
      </c>
      <c r="L194" t="n">
        <v>0</v>
      </c>
      <c r="M194" t="n">
        <v>0</v>
      </c>
      <c r="N194" t="n">
        <v>0</v>
      </c>
      <c r="O194" t="n">
        <v>1</v>
      </c>
      <c r="P194" t="n">
        <v>0</v>
      </c>
      <c r="Q194" t="n">
        <v>1</v>
      </c>
      <c r="R194" s="2" t="inlineStr">
        <is>
          <t>Vickerglasvinge</t>
        </is>
      </c>
      <c r="S194">
        <f>HYPERLINK("https://klasma.github.io/Logging_1863/artfynd/A 21860-2020 artfynd.xlsx", "A 21860-2020")</f>
        <v/>
      </c>
      <c r="T194">
        <f>HYPERLINK("https://klasma.github.io/Logging_1863/kartor/A 21860-2020 karta.png", "A 21860-2020")</f>
        <v/>
      </c>
      <c r="U194">
        <f>HYPERLINK("https://klasma.github.io/Logging_1863/knärot/A 21860-2020 karta knärot.png", "A 21860-2020")</f>
        <v/>
      </c>
      <c r="V194">
        <f>HYPERLINK("https://klasma.github.io/Logging_1863/klagomål/A 21860-2020 FSC-klagomål.docx", "A 21860-2020")</f>
        <v/>
      </c>
      <c r="W194">
        <f>HYPERLINK("https://klasma.github.io/Logging_1863/klagomålsmail/A 21860-2020 FSC-klagomål mail.docx", "A 21860-2020")</f>
        <v/>
      </c>
      <c r="X194">
        <f>HYPERLINK("https://klasma.github.io/Logging_1863/tillsyn/A 21860-2020 tillsynsbegäran.docx", "A 21860-2020")</f>
        <v/>
      </c>
      <c r="Y194">
        <f>HYPERLINK("https://klasma.github.io/Logging_1863/tillsynsmail/A 21860-2020 tillsynsbegäran mail.docx", "A 21860-2020")</f>
        <v/>
      </c>
    </row>
    <row r="195" ht="15" customHeight="1">
      <c r="A195" t="inlineStr">
        <is>
          <t>A 25192-2020</t>
        </is>
      </c>
      <c r="B195" s="1" t="n">
        <v>43980</v>
      </c>
      <c r="C195" s="1" t="n">
        <v>45222</v>
      </c>
      <c r="D195" t="inlineStr">
        <is>
          <t>ÖREBRO LÄN</t>
        </is>
      </c>
      <c r="E195" t="inlineStr">
        <is>
          <t>ÖREBRO</t>
        </is>
      </c>
      <c r="F195" t="inlineStr">
        <is>
          <t>Övriga Aktiebolag</t>
        </is>
      </c>
      <c r="G195" t="n">
        <v>1.5</v>
      </c>
      <c r="H195" t="n">
        <v>1</v>
      </c>
      <c r="I195" t="n">
        <v>1</v>
      </c>
      <c r="J195" t="n">
        <v>0</v>
      </c>
      <c r="K195" t="n">
        <v>0</v>
      </c>
      <c r="L195" t="n">
        <v>0</v>
      </c>
      <c r="M195" t="n">
        <v>0</v>
      </c>
      <c r="N195" t="n">
        <v>0</v>
      </c>
      <c r="O195" t="n">
        <v>0</v>
      </c>
      <c r="P195" t="n">
        <v>0</v>
      </c>
      <c r="Q195" t="n">
        <v>1</v>
      </c>
      <c r="R195" s="2" t="inlineStr">
        <is>
          <t>Spindelblomster</t>
        </is>
      </c>
      <c r="S195">
        <f>HYPERLINK("https://klasma.github.io/Logging_1880/artfynd/A 25192-2020 artfynd.xlsx", "A 25192-2020")</f>
        <v/>
      </c>
      <c r="T195">
        <f>HYPERLINK("https://klasma.github.io/Logging_1880/kartor/A 25192-2020 karta.png", "A 25192-2020")</f>
        <v/>
      </c>
      <c r="V195">
        <f>HYPERLINK("https://klasma.github.io/Logging_1880/klagomål/A 25192-2020 FSC-klagomål.docx", "A 25192-2020")</f>
        <v/>
      </c>
      <c r="W195">
        <f>HYPERLINK("https://klasma.github.io/Logging_1880/klagomålsmail/A 25192-2020 FSC-klagomål mail.docx", "A 25192-2020")</f>
        <v/>
      </c>
      <c r="X195">
        <f>HYPERLINK("https://klasma.github.io/Logging_1880/tillsyn/A 25192-2020 tillsynsbegäran.docx", "A 25192-2020")</f>
        <v/>
      </c>
      <c r="Y195">
        <f>HYPERLINK("https://klasma.github.io/Logging_1880/tillsynsmail/A 25192-2020 tillsynsbegäran mail.docx", "A 25192-2020")</f>
        <v/>
      </c>
    </row>
    <row r="196" ht="15" customHeight="1">
      <c r="A196" t="inlineStr">
        <is>
          <t>A 26426-2020</t>
        </is>
      </c>
      <c r="B196" s="1" t="n">
        <v>43986</v>
      </c>
      <c r="C196" s="1" t="n">
        <v>45222</v>
      </c>
      <c r="D196" t="inlineStr">
        <is>
          <t>ÖREBRO LÄN</t>
        </is>
      </c>
      <c r="E196" t="inlineStr">
        <is>
          <t>ÖREBRO</t>
        </is>
      </c>
      <c r="G196" t="n">
        <v>1</v>
      </c>
      <c r="H196" t="n">
        <v>0</v>
      </c>
      <c r="I196" t="n">
        <v>0</v>
      </c>
      <c r="J196" t="n">
        <v>0</v>
      </c>
      <c r="K196" t="n">
        <v>1</v>
      </c>
      <c r="L196" t="n">
        <v>0</v>
      </c>
      <c r="M196" t="n">
        <v>0</v>
      </c>
      <c r="N196" t="n">
        <v>0</v>
      </c>
      <c r="O196" t="n">
        <v>1</v>
      </c>
      <c r="P196" t="n">
        <v>1</v>
      </c>
      <c r="Q196" t="n">
        <v>1</v>
      </c>
      <c r="R196" s="2" t="inlineStr">
        <is>
          <t>Slöjröksvamp</t>
        </is>
      </c>
      <c r="S196">
        <f>HYPERLINK("https://klasma.github.io/Logging_1880/artfynd/A 26426-2020 artfynd.xlsx", "A 26426-2020")</f>
        <v/>
      </c>
      <c r="T196">
        <f>HYPERLINK("https://klasma.github.io/Logging_1880/kartor/A 26426-2020 karta.png", "A 26426-2020")</f>
        <v/>
      </c>
      <c r="V196">
        <f>HYPERLINK("https://klasma.github.io/Logging_1880/klagomål/A 26426-2020 FSC-klagomål.docx", "A 26426-2020")</f>
        <v/>
      </c>
      <c r="W196">
        <f>HYPERLINK("https://klasma.github.io/Logging_1880/klagomålsmail/A 26426-2020 FSC-klagomål mail.docx", "A 26426-2020")</f>
        <v/>
      </c>
      <c r="X196">
        <f>HYPERLINK("https://klasma.github.io/Logging_1880/tillsyn/A 26426-2020 tillsynsbegäran.docx", "A 26426-2020")</f>
        <v/>
      </c>
      <c r="Y196">
        <f>HYPERLINK("https://klasma.github.io/Logging_1880/tillsynsmail/A 26426-2020 tillsynsbegäran mail.docx", "A 26426-2020")</f>
        <v/>
      </c>
    </row>
    <row r="197" ht="15" customHeight="1">
      <c r="A197" t="inlineStr">
        <is>
          <t>A 28103-2020</t>
        </is>
      </c>
      <c r="B197" s="1" t="n">
        <v>43997</v>
      </c>
      <c r="C197" s="1" t="n">
        <v>45222</v>
      </c>
      <c r="D197" t="inlineStr">
        <is>
          <t>ÖREBRO LÄN</t>
        </is>
      </c>
      <c r="E197" t="inlineStr">
        <is>
          <t>ÖREBRO</t>
        </is>
      </c>
      <c r="G197" t="n">
        <v>1.6</v>
      </c>
      <c r="H197" t="n">
        <v>1</v>
      </c>
      <c r="I197" t="n">
        <v>0</v>
      </c>
      <c r="J197" t="n">
        <v>0</v>
      </c>
      <c r="K197" t="n">
        <v>1</v>
      </c>
      <c r="L197" t="n">
        <v>0</v>
      </c>
      <c r="M197" t="n">
        <v>0</v>
      </c>
      <c r="N197" t="n">
        <v>0</v>
      </c>
      <c r="O197" t="n">
        <v>1</v>
      </c>
      <c r="P197" t="n">
        <v>1</v>
      </c>
      <c r="Q197" t="n">
        <v>1</v>
      </c>
      <c r="R197" s="2" t="inlineStr">
        <is>
          <t>Knärot</t>
        </is>
      </c>
      <c r="S197">
        <f>HYPERLINK("https://klasma.github.io/Logging_1880/artfynd/A 28103-2020 artfynd.xlsx", "A 28103-2020")</f>
        <v/>
      </c>
      <c r="T197">
        <f>HYPERLINK("https://klasma.github.io/Logging_1880/kartor/A 28103-2020 karta.png", "A 28103-2020")</f>
        <v/>
      </c>
      <c r="U197">
        <f>HYPERLINK("https://klasma.github.io/Logging_1880/knärot/A 28103-2020 karta knärot.png", "A 28103-2020")</f>
        <v/>
      </c>
      <c r="V197">
        <f>HYPERLINK("https://klasma.github.io/Logging_1880/klagomål/A 28103-2020 FSC-klagomål.docx", "A 28103-2020")</f>
        <v/>
      </c>
      <c r="W197">
        <f>HYPERLINK("https://klasma.github.io/Logging_1880/klagomålsmail/A 28103-2020 FSC-klagomål mail.docx", "A 28103-2020")</f>
        <v/>
      </c>
      <c r="X197">
        <f>HYPERLINK("https://klasma.github.io/Logging_1880/tillsyn/A 28103-2020 tillsynsbegäran.docx", "A 28103-2020")</f>
        <v/>
      </c>
      <c r="Y197">
        <f>HYPERLINK("https://klasma.github.io/Logging_1880/tillsynsmail/A 28103-2020 tillsynsbegäran mail.docx", "A 28103-2020")</f>
        <v/>
      </c>
    </row>
    <row r="198" ht="15" customHeight="1">
      <c r="A198" t="inlineStr">
        <is>
          <t>A 28710-2020</t>
        </is>
      </c>
      <c r="B198" s="1" t="n">
        <v>43998</v>
      </c>
      <c r="C198" s="1" t="n">
        <v>45222</v>
      </c>
      <c r="D198" t="inlineStr">
        <is>
          <t>ÖREBRO LÄN</t>
        </is>
      </c>
      <c r="E198" t="inlineStr">
        <is>
          <t>ÖREBRO</t>
        </is>
      </c>
      <c r="F198" t="inlineStr">
        <is>
          <t>Kommuner</t>
        </is>
      </c>
      <c r="G198" t="n">
        <v>1</v>
      </c>
      <c r="H198" t="n">
        <v>0</v>
      </c>
      <c r="I198" t="n">
        <v>0</v>
      </c>
      <c r="J198" t="n">
        <v>1</v>
      </c>
      <c r="K198" t="n">
        <v>0</v>
      </c>
      <c r="L198" t="n">
        <v>0</v>
      </c>
      <c r="M198" t="n">
        <v>0</v>
      </c>
      <c r="N198" t="n">
        <v>0</v>
      </c>
      <c r="O198" t="n">
        <v>1</v>
      </c>
      <c r="P198" t="n">
        <v>0</v>
      </c>
      <c r="Q198" t="n">
        <v>1</v>
      </c>
      <c r="R198" s="2" t="inlineStr">
        <is>
          <t>Ullticka</t>
        </is>
      </c>
      <c r="S198">
        <f>HYPERLINK("https://klasma.github.io/Logging_1880/artfynd/A 28710-2020 artfynd.xlsx", "A 28710-2020")</f>
        <v/>
      </c>
      <c r="T198">
        <f>HYPERLINK("https://klasma.github.io/Logging_1880/kartor/A 28710-2020 karta.png", "A 28710-2020")</f>
        <v/>
      </c>
      <c r="V198">
        <f>HYPERLINK("https://klasma.github.io/Logging_1880/klagomål/A 28710-2020 FSC-klagomål.docx", "A 28710-2020")</f>
        <v/>
      </c>
      <c r="W198">
        <f>HYPERLINK("https://klasma.github.io/Logging_1880/klagomålsmail/A 28710-2020 FSC-klagomål mail.docx", "A 28710-2020")</f>
        <v/>
      </c>
      <c r="X198">
        <f>HYPERLINK("https://klasma.github.io/Logging_1880/tillsyn/A 28710-2020 tillsynsbegäran.docx", "A 28710-2020")</f>
        <v/>
      </c>
      <c r="Y198">
        <f>HYPERLINK("https://klasma.github.io/Logging_1880/tillsynsmail/A 28710-2020 tillsynsbegäran mail.docx", "A 28710-2020")</f>
        <v/>
      </c>
    </row>
    <row r="199" ht="15" customHeight="1">
      <c r="A199" t="inlineStr">
        <is>
          <t>A 29454-2020</t>
        </is>
      </c>
      <c r="B199" s="1" t="n">
        <v>44004</v>
      </c>
      <c r="C199" s="1" t="n">
        <v>45222</v>
      </c>
      <c r="D199" t="inlineStr">
        <is>
          <t>ÖREBRO LÄN</t>
        </is>
      </c>
      <c r="E199" t="inlineStr">
        <is>
          <t>ÖREBRO</t>
        </is>
      </c>
      <c r="G199" t="n">
        <v>5</v>
      </c>
      <c r="H199" t="n">
        <v>0</v>
      </c>
      <c r="I199" t="n">
        <v>0</v>
      </c>
      <c r="J199" t="n">
        <v>1</v>
      </c>
      <c r="K199" t="n">
        <v>0</v>
      </c>
      <c r="L199" t="n">
        <v>0</v>
      </c>
      <c r="M199" t="n">
        <v>0</v>
      </c>
      <c r="N199" t="n">
        <v>0</v>
      </c>
      <c r="O199" t="n">
        <v>1</v>
      </c>
      <c r="P199" t="n">
        <v>0</v>
      </c>
      <c r="Q199" t="n">
        <v>1</v>
      </c>
      <c r="R199" s="2" t="inlineStr">
        <is>
          <t>Stornopping</t>
        </is>
      </c>
      <c r="S199">
        <f>HYPERLINK("https://klasma.github.io/Logging_1880/artfynd/A 29454-2020 artfynd.xlsx", "A 29454-2020")</f>
        <v/>
      </c>
      <c r="T199">
        <f>HYPERLINK("https://klasma.github.io/Logging_1880/kartor/A 29454-2020 karta.png", "A 29454-2020")</f>
        <v/>
      </c>
      <c r="V199">
        <f>HYPERLINK("https://klasma.github.io/Logging_1880/klagomål/A 29454-2020 FSC-klagomål.docx", "A 29454-2020")</f>
        <v/>
      </c>
      <c r="W199">
        <f>HYPERLINK("https://klasma.github.io/Logging_1880/klagomålsmail/A 29454-2020 FSC-klagomål mail.docx", "A 29454-2020")</f>
        <v/>
      </c>
      <c r="X199">
        <f>HYPERLINK("https://klasma.github.io/Logging_1880/tillsyn/A 29454-2020 tillsynsbegäran.docx", "A 29454-2020")</f>
        <v/>
      </c>
      <c r="Y199">
        <f>HYPERLINK("https://klasma.github.io/Logging_1880/tillsynsmail/A 29454-2020 tillsynsbegäran mail.docx", "A 29454-2020")</f>
        <v/>
      </c>
    </row>
    <row r="200" ht="15" customHeight="1">
      <c r="A200" t="inlineStr">
        <is>
          <t>A 32905-2020</t>
        </is>
      </c>
      <c r="B200" s="1" t="n">
        <v>44020</v>
      </c>
      <c r="C200" s="1" t="n">
        <v>45222</v>
      </c>
      <c r="D200" t="inlineStr">
        <is>
          <t>ÖREBRO LÄN</t>
        </is>
      </c>
      <c r="E200" t="inlineStr">
        <is>
          <t>ASKERSUND</t>
        </is>
      </c>
      <c r="F200" t="inlineStr">
        <is>
          <t>Sveaskog</t>
        </is>
      </c>
      <c r="G200" t="n">
        <v>0.8</v>
      </c>
      <c r="H200" t="n">
        <v>1</v>
      </c>
      <c r="I200" t="n">
        <v>0</v>
      </c>
      <c r="J200" t="n">
        <v>0</v>
      </c>
      <c r="K200" t="n">
        <v>0</v>
      </c>
      <c r="L200" t="n">
        <v>0</v>
      </c>
      <c r="M200" t="n">
        <v>0</v>
      </c>
      <c r="N200" t="n">
        <v>0</v>
      </c>
      <c r="O200" t="n">
        <v>0</v>
      </c>
      <c r="P200" t="n">
        <v>0</v>
      </c>
      <c r="Q200" t="n">
        <v>1</v>
      </c>
      <c r="R200" s="2" t="inlineStr">
        <is>
          <t>Nattviol</t>
        </is>
      </c>
      <c r="S200">
        <f>HYPERLINK("https://klasma.github.io/Logging_1882/artfynd/A 32905-2020 artfynd.xlsx", "A 32905-2020")</f>
        <v/>
      </c>
      <c r="T200">
        <f>HYPERLINK("https://klasma.github.io/Logging_1882/kartor/A 32905-2020 karta.png", "A 32905-2020")</f>
        <v/>
      </c>
      <c r="V200">
        <f>HYPERLINK("https://klasma.github.io/Logging_1882/klagomål/A 32905-2020 FSC-klagomål.docx", "A 32905-2020")</f>
        <v/>
      </c>
      <c r="W200">
        <f>HYPERLINK("https://klasma.github.io/Logging_1882/klagomålsmail/A 32905-2020 FSC-klagomål mail.docx", "A 32905-2020")</f>
        <v/>
      </c>
      <c r="X200">
        <f>HYPERLINK("https://klasma.github.io/Logging_1882/tillsyn/A 32905-2020 tillsynsbegäran.docx", "A 32905-2020")</f>
        <v/>
      </c>
      <c r="Y200">
        <f>HYPERLINK("https://klasma.github.io/Logging_1882/tillsynsmail/A 32905-2020 tillsynsbegäran mail.docx", "A 32905-2020")</f>
        <v/>
      </c>
    </row>
    <row r="201" ht="15" customHeight="1">
      <c r="A201" t="inlineStr">
        <is>
          <t>A 34760-2020</t>
        </is>
      </c>
      <c r="B201" s="1" t="n">
        <v>44035</v>
      </c>
      <c r="C201" s="1" t="n">
        <v>45222</v>
      </c>
      <c r="D201" t="inlineStr">
        <is>
          <t>ÖREBRO LÄN</t>
        </is>
      </c>
      <c r="E201" t="inlineStr">
        <is>
          <t>ASKERSUND</t>
        </is>
      </c>
      <c r="F201" t="inlineStr">
        <is>
          <t>Sveaskog</t>
        </is>
      </c>
      <c r="G201" t="n">
        <v>2.2</v>
      </c>
      <c r="H201" t="n">
        <v>0</v>
      </c>
      <c r="I201" t="n">
        <v>0</v>
      </c>
      <c r="J201" t="n">
        <v>1</v>
      </c>
      <c r="K201" t="n">
        <v>0</v>
      </c>
      <c r="L201" t="n">
        <v>0</v>
      </c>
      <c r="M201" t="n">
        <v>0</v>
      </c>
      <c r="N201" t="n">
        <v>0</v>
      </c>
      <c r="O201" t="n">
        <v>1</v>
      </c>
      <c r="P201" t="n">
        <v>0</v>
      </c>
      <c r="Q201" t="n">
        <v>1</v>
      </c>
      <c r="R201" s="2" t="inlineStr">
        <is>
          <t>Svinrot</t>
        </is>
      </c>
      <c r="S201">
        <f>HYPERLINK("https://klasma.github.io/Logging_1882/artfynd/A 34760-2020 artfynd.xlsx", "A 34760-2020")</f>
        <v/>
      </c>
      <c r="T201">
        <f>HYPERLINK("https://klasma.github.io/Logging_1882/kartor/A 34760-2020 karta.png", "A 34760-2020")</f>
        <v/>
      </c>
      <c r="V201">
        <f>HYPERLINK("https://klasma.github.io/Logging_1882/klagomål/A 34760-2020 FSC-klagomål.docx", "A 34760-2020")</f>
        <v/>
      </c>
      <c r="W201">
        <f>HYPERLINK("https://klasma.github.io/Logging_1882/klagomålsmail/A 34760-2020 FSC-klagomål mail.docx", "A 34760-2020")</f>
        <v/>
      </c>
      <c r="X201">
        <f>HYPERLINK("https://klasma.github.io/Logging_1882/tillsyn/A 34760-2020 tillsynsbegäran.docx", "A 34760-2020")</f>
        <v/>
      </c>
      <c r="Y201">
        <f>HYPERLINK("https://klasma.github.io/Logging_1882/tillsynsmail/A 34760-2020 tillsynsbegäran mail.docx", "A 34760-2020")</f>
        <v/>
      </c>
    </row>
    <row r="202" ht="15" customHeight="1">
      <c r="A202" t="inlineStr">
        <is>
          <t>A 39904-2020</t>
        </is>
      </c>
      <c r="B202" s="1" t="n">
        <v>44067</v>
      </c>
      <c r="C202" s="1" t="n">
        <v>45222</v>
      </c>
      <c r="D202" t="inlineStr">
        <is>
          <t>ÖREBRO LÄN</t>
        </is>
      </c>
      <c r="E202" t="inlineStr">
        <is>
          <t>ASKERSUND</t>
        </is>
      </c>
      <c r="G202" t="n">
        <v>8.800000000000001</v>
      </c>
      <c r="H202" t="n">
        <v>1</v>
      </c>
      <c r="I202" t="n">
        <v>0</v>
      </c>
      <c r="J202" t="n">
        <v>1</v>
      </c>
      <c r="K202" t="n">
        <v>0</v>
      </c>
      <c r="L202" t="n">
        <v>0</v>
      </c>
      <c r="M202" t="n">
        <v>0</v>
      </c>
      <c r="N202" t="n">
        <v>0</v>
      </c>
      <c r="O202" t="n">
        <v>1</v>
      </c>
      <c r="P202" t="n">
        <v>0</v>
      </c>
      <c r="Q202" t="n">
        <v>1</v>
      </c>
      <c r="R202" s="2" t="inlineStr">
        <is>
          <t>Nordfladdermus</t>
        </is>
      </c>
      <c r="S202">
        <f>HYPERLINK("https://klasma.github.io/Logging_1882/artfynd/A 39904-2020 artfynd.xlsx", "A 39904-2020")</f>
        <v/>
      </c>
      <c r="T202">
        <f>HYPERLINK("https://klasma.github.io/Logging_1882/kartor/A 39904-2020 karta.png", "A 39904-2020")</f>
        <v/>
      </c>
      <c r="V202">
        <f>HYPERLINK("https://klasma.github.io/Logging_1882/klagomål/A 39904-2020 FSC-klagomål.docx", "A 39904-2020")</f>
        <v/>
      </c>
      <c r="W202">
        <f>HYPERLINK("https://klasma.github.io/Logging_1882/klagomålsmail/A 39904-2020 FSC-klagomål mail.docx", "A 39904-2020")</f>
        <v/>
      </c>
      <c r="X202">
        <f>HYPERLINK("https://klasma.github.io/Logging_1882/tillsyn/A 39904-2020 tillsynsbegäran.docx", "A 39904-2020")</f>
        <v/>
      </c>
      <c r="Y202">
        <f>HYPERLINK("https://klasma.github.io/Logging_1882/tillsynsmail/A 39904-2020 tillsynsbegäran mail.docx", "A 39904-2020")</f>
        <v/>
      </c>
    </row>
    <row r="203" ht="15" customHeight="1">
      <c r="A203" t="inlineStr">
        <is>
          <t>A 42905-2020</t>
        </is>
      </c>
      <c r="B203" s="1" t="n">
        <v>44078</v>
      </c>
      <c r="C203" s="1" t="n">
        <v>45222</v>
      </c>
      <c r="D203" t="inlineStr">
        <is>
          <t>ÖREBRO LÄN</t>
        </is>
      </c>
      <c r="E203" t="inlineStr">
        <is>
          <t>HALLSBERG</t>
        </is>
      </c>
      <c r="G203" t="n">
        <v>9.300000000000001</v>
      </c>
      <c r="H203" t="n">
        <v>1</v>
      </c>
      <c r="I203" t="n">
        <v>0</v>
      </c>
      <c r="J203" t="n">
        <v>0</v>
      </c>
      <c r="K203" t="n">
        <v>0</v>
      </c>
      <c r="L203" t="n">
        <v>0</v>
      </c>
      <c r="M203" t="n">
        <v>0</v>
      </c>
      <c r="N203" t="n">
        <v>0</v>
      </c>
      <c r="O203" t="n">
        <v>0</v>
      </c>
      <c r="P203" t="n">
        <v>0</v>
      </c>
      <c r="Q203" t="n">
        <v>1</v>
      </c>
      <c r="R203" s="2" t="inlineStr">
        <is>
          <t>Större vattensalamander</t>
        </is>
      </c>
      <c r="S203">
        <f>HYPERLINK("https://klasma.github.io/Logging_1861/artfynd/A 42905-2020 artfynd.xlsx", "A 42905-2020")</f>
        <v/>
      </c>
      <c r="T203">
        <f>HYPERLINK("https://klasma.github.io/Logging_1861/kartor/A 42905-2020 karta.png", "A 42905-2020")</f>
        <v/>
      </c>
      <c r="V203">
        <f>HYPERLINK("https://klasma.github.io/Logging_1861/klagomål/A 42905-2020 FSC-klagomål.docx", "A 42905-2020")</f>
        <v/>
      </c>
      <c r="W203">
        <f>HYPERLINK("https://klasma.github.io/Logging_1861/klagomålsmail/A 42905-2020 FSC-klagomål mail.docx", "A 42905-2020")</f>
        <v/>
      </c>
      <c r="X203">
        <f>HYPERLINK("https://klasma.github.io/Logging_1861/tillsyn/A 42905-2020 tillsynsbegäran.docx", "A 42905-2020")</f>
        <v/>
      </c>
      <c r="Y203">
        <f>HYPERLINK("https://klasma.github.io/Logging_1861/tillsynsmail/A 42905-2020 tillsynsbegäran mail.docx", "A 42905-2020")</f>
        <v/>
      </c>
    </row>
    <row r="204" ht="15" customHeight="1">
      <c r="A204" t="inlineStr">
        <is>
          <t>A 47044-2020</t>
        </is>
      </c>
      <c r="B204" s="1" t="n">
        <v>44091</v>
      </c>
      <c r="C204" s="1" t="n">
        <v>45222</v>
      </c>
      <c r="D204" t="inlineStr">
        <is>
          <t>ÖREBRO LÄN</t>
        </is>
      </c>
      <c r="E204" t="inlineStr">
        <is>
          <t>LJUSNARSBERG</t>
        </is>
      </c>
      <c r="F204" t="inlineStr">
        <is>
          <t>Bergvik skog väst AB</t>
        </is>
      </c>
      <c r="G204" t="n">
        <v>7.6</v>
      </c>
      <c r="H204" t="n">
        <v>1</v>
      </c>
      <c r="I204" t="n">
        <v>0</v>
      </c>
      <c r="J204" t="n">
        <v>0</v>
      </c>
      <c r="K204" t="n">
        <v>1</v>
      </c>
      <c r="L204" t="n">
        <v>0</v>
      </c>
      <c r="M204" t="n">
        <v>0</v>
      </c>
      <c r="N204" t="n">
        <v>0</v>
      </c>
      <c r="O204" t="n">
        <v>1</v>
      </c>
      <c r="P204" t="n">
        <v>1</v>
      </c>
      <c r="Q204" t="n">
        <v>1</v>
      </c>
      <c r="R204" s="2" t="inlineStr">
        <is>
          <t>Knärot</t>
        </is>
      </c>
      <c r="S204">
        <f>HYPERLINK("https://klasma.github.io/Logging_1864/artfynd/A 47044-2020 artfynd.xlsx", "A 47044-2020")</f>
        <v/>
      </c>
      <c r="T204">
        <f>HYPERLINK("https://klasma.github.io/Logging_1864/kartor/A 47044-2020 karta.png", "A 47044-2020")</f>
        <v/>
      </c>
      <c r="U204">
        <f>HYPERLINK("https://klasma.github.io/Logging_1864/knärot/A 47044-2020 karta knärot.png", "A 47044-2020")</f>
        <v/>
      </c>
      <c r="V204">
        <f>HYPERLINK("https://klasma.github.io/Logging_1864/klagomål/A 47044-2020 FSC-klagomål.docx", "A 47044-2020")</f>
        <v/>
      </c>
      <c r="W204">
        <f>HYPERLINK("https://klasma.github.io/Logging_1864/klagomålsmail/A 47044-2020 FSC-klagomål mail.docx", "A 47044-2020")</f>
        <v/>
      </c>
      <c r="X204">
        <f>HYPERLINK("https://klasma.github.io/Logging_1864/tillsyn/A 47044-2020 tillsynsbegäran.docx", "A 47044-2020")</f>
        <v/>
      </c>
      <c r="Y204">
        <f>HYPERLINK("https://klasma.github.io/Logging_1864/tillsynsmail/A 47044-2020 tillsynsbegäran mail.docx", "A 47044-2020")</f>
        <v/>
      </c>
    </row>
    <row r="205" ht="15" customHeight="1">
      <c r="A205" t="inlineStr">
        <is>
          <t>A 47314-2020</t>
        </is>
      </c>
      <c r="B205" s="1" t="n">
        <v>44097</v>
      </c>
      <c r="C205" s="1" t="n">
        <v>45222</v>
      </c>
      <c r="D205" t="inlineStr">
        <is>
          <t>ÖREBRO LÄN</t>
        </is>
      </c>
      <c r="E205" t="inlineStr">
        <is>
          <t>HALLSBERG</t>
        </is>
      </c>
      <c r="F205" t="inlineStr">
        <is>
          <t>Sveaskog</t>
        </is>
      </c>
      <c r="G205" t="n">
        <v>1.5</v>
      </c>
      <c r="H205" t="n">
        <v>0</v>
      </c>
      <c r="I205" t="n">
        <v>1</v>
      </c>
      <c r="J205" t="n">
        <v>0</v>
      </c>
      <c r="K205" t="n">
        <v>0</v>
      </c>
      <c r="L205" t="n">
        <v>0</v>
      </c>
      <c r="M205" t="n">
        <v>0</v>
      </c>
      <c r="N205" t="n">
        <v>0</v>
      </c>
      <c r="O205" t="n">
        <v>0</v>
      </c>
      <c r="P205" t="n">
        <v>0</v>
      </c>
      <c r="Q205" t="n">
        <v>1</v>
      </c>
      <c r="R205" s="2" t="inlineStr">
        <is>
          <t>Stubbspretmossa</t>
        </is>
      </c>
      <c r="S205">
        <f>HYPERLINK("https://klasma.github.io/Logging_1861/artfynd/A 47314-2020 artfynd.xlsx", "A 47314-2020")</f>
        <v/>
      </c>
      <c r="T205">
        <f>HYPERLINK("https://klasma.github.io/Logging_1861/kartor/A 47314-2020 karta.png", "A 47314-2020")</f>
        <v/>
      </c>
      <c r="V205">
        <f>HYPERLINK("https://klasma.github.io/Logging_1861/klagomål/A 47314-2020 FSC-klagomål.docx", "A 47314-2020")</f>
        <v/>
      </c>
      <c r="W205">
        <f>HYPERLINK("https://klasma.github.io/Logging_1861/klagomålsmail/A 47314-2020 FSC-klagomål mail.docx", "A 47314-2020")</f>
        <v/>
      </c>
      <c r="X205">
        <f>HYPERLINK("https://klasma.github.io/Logging_1861/tillsyn/A 47314-2020 tillsynsbegäran.docx", "A 47314-2020")</f>
        <v/>
      </c>
      <c r="Y205">
        <f>HYPERLINK("https://klasma.github.io/Logging_1861/tillsynsmail/A 47314-2020 tillsynsbegäran mail.docx", "A 47314-2020")</f>
        <v/>
      </c>
    </row>
    <row r="206" ht="15" customHeight="1">
      <c r="A206" t="inlineStr">
        <is>
          <t>A 58022-2020</t>
        </is>
      </c>
      <c r="B206" s="1" t="n">
        <v>44144</v>
      </c>
      <c r="C206" s="1" t="n">
        <v>45222</v>
      </c>
      <c r="D206" t="inlineStr">
        <is>
          <t>ÖREBRO LÄN</t>
        </is>
      </c>
      <c r="E206" t="inlineStr">
        <is>
          <t>KARLSKOGA</t>
        </is>
      </c>
      <c r="F206" t="inlineStr">
        <is>
          <t>Sveaskog</t>
        </is>
      </c>
      <c r="G206" t="n">
        <v>8.6</v>
      </c>
      <c r="H206" t="n">
        <v>1</v>
      </c>
      <c r="I206" t="n">
        <v>0</v>
      </c>
      <c r="J206" t="n">
        <v>0</v>
      </c>
      <c r="K206" t="n">
        <v>0</v>
      </c>
      <c r="L206" t="n">
        <v>0</v>
      </c>
      <c r="M206" t="n">
        <v>0</v>
      </c>
      <c r="N206" t="n">
        <v>0</v>
      </c>
      <c r="O206" t="n">
        <v>0</v>
      </c>
      <c r="P206" t="n">
        <v>0</v>
      </c>
      <c r="Q206" t="n">
        <v>1</v>
      </c>
      <c r="R206" s="2" t="inlineStr">
        <is>
          <t>Fläcknycklar</t>
        </is>
      </c>
      <c r="S206">
        <f>HYPERLINK("https://klasma.github.io/Logging_1883/artfynd/A 58022-2020 artfynd.xlsx", "A 58022-2020")</f>
        <v/>
      </c>
      <c r="T206">
        <f>HYPERLINK("https://klasma.github.io/Logging_1883/kartor/A 58022-2020 karta.png", "A 58022-2020")</f>
        <v/>
      </c>
      <c r="V206">
        <f>HYPERLINK("https://klasma.github.io/Logging_1883/klagomål/A 58022-2020 FSC-klagomål.docx", "A 58022-2020")</f>
        <v/>
      </c>
      <c r="W206">
        <f>HYPERLINK("https://klasma.github.io/Logging_1883/klagomålsmail/A 58022-2020 FSC-klagomål mail.docx", "A 58022-2020")</f>
        <v/>
      </c>
      <c r="X206">
        <f>HYPERLINK("https://klasma.github.io/Logging_1883/tillsyn/A 58022-2020 tillsynsbegäran.docx", "A 58022-2020")</f>
        <v/>
      </c>
      <c r="Y206">
        <f>HYPERLINK("https://klasma.github.io/Logging_1883/tillsynsmail/A 58022-2020 tillsynsbegäran mail.docx", "A 58022-2020")</f>
        <v/>
      </c>
    </row>
    <row r="207" ht="15" customHeight="1">
      <c r="A207" t="inlineStr">
        <is>
          <t>A 58966-2020</t>
        </is>
      </c>
      <c r="B207" s="1" t="n">
        <v>44146</v>
      </c>
      <c r="C207" s="1" t="n">
        <v>45222</v>
      </c>
      <c r="D207" t="inlineStr">
        <is>
          <t>ÖREBRO LÄN</t>
        </is>
      </c>
      <c r="E207" t="inlineStr">
        <is>
          <t>ÖREBRO</t>
        </is>
      </c>
      <c r="F207" t="inlineStr">
        <is>
          <t>Övriga Aktiebolag</t>
        </is>
      </c>
      <c r="G207" t="n">
        <v>1.2</v>
      </c>
      <c r="H207" t="n">
        <v>1</v>
      </c>
      <c r="I207" t="n">
        <v>0</v>
      </c>
      <c r="J207" t="n">
        <v>1</v>
      </c>
      <c r="K207" t="n">
        <v>0</v>
      </c>
      <c r="L207" t="n">
        <v>0</v>
      </c>
      <c r="M207" t="n">
        <v>0</v>
      </c>
      <c r="N207" t="n">
        <v>0</v>
      </c>
      <c r="O207" t="n">
        <v>1</v>
      </c>
      <c r="P207" t="n">
        <v>0</v>
      </c>
      <c r="Q207" t="n">
        <v>1</v>
      </c>
      <c r="R207" s="2" t="inlineStr">
        <is>
          <t>Kråka</t>
        </is>
      </c>
      <c r="S207">
        <f>HYPERLINK("https://klasma.github.io/Logging_1880/artfynd/A 58966-2020 artfynd.xlsx", "A 58966-2020")</f>
        <v/>
      </c>
      <c r="T207">
        <f>HYPERLINK("https://klasma.github.io/Logging_1880/kartor/A 58966-2020 karta.png", "A 58966-2020")</f>
        <v/>
      </c>
      <c r="V207">
        <f>HYPERLINK("https://klasma.github.io/Logging_1880/klagomål/A 58966-2020 FSC-klagomål.docx", "A 58966-2020")</f>
        <v/>
      </c>
      <c r="W207">
        <f>HYPERLINK("https://klasma.github.io/Logging_1880/klagomålsmail/A 58966-2020 FSC-klagomål mail.docx", "A 58966-2020")</f>
        <v/>
      </c>
      <c r="X207">
        <f>HYPERLINK("https://klasma.github.io/Logging_1880/tillsyn/A 58966-2020 tillsynsbegäran.docx", "A 58966-2020")</f>
        <v/>
      </c>
      <c r="Y207">
        <f>HYPERLINK("https://klasma.github.io/Logging_1880/tillsynsmail/A 58966-2020 tillsynsbegäran mail.docx", "A 58966-2020")</f>
        <v/>
      </c>
    </row>
    <row r="208" ht="15" customHeight="1">
      <c r="A208" t="inlineStr">
        <is>
          <t>A 65156-2020</t>
        </is>
      </c>
      <c r="B208" s="1" t="n">
        <v>44172</v>
      </c>
      <c r="C208" s="1" t="n">
        <v>45222</v>
      </c>
      <c r="D208" t="inlineStr">
        <is>
          <t>ÖREBRO LÄN</t>
        </is>
      </c>
      <c r="E208" t="inlineStr">
        <is>
          <t>NORA</t>
        </is>
      </c>
      <c r="G208" t="n">
        <v>7.2</v>
      </c>
      <c r="H208" t="n">
        <v>0</v>
      </c>
      <c r="I208" t="n">
        <v>0</v>
      </c>
      <c r="J208" t="n">
        <v>0</v>
      </c>
      <c r="K208" t="n">
        <v>0</v>
      </c>
      <c r="L208" t="n">
        <v>0</v>
      </c>
      <c r="M208" t="n">
        <v>1</v>
      </c>
      <c r="N208" t="n">
        <v>0</v>
      </c>
      <c r="O208" t="n">
        <v>1</v>
      </c>
      <c r="P208" t="n">
        <v>1</v>
      </c>
      <c r="Q208" t="n">
        <v>1</v>
      </c>
      <c r="R208" s="2" t="inlineStr">
        <is>
          <t>Skogsalm</t>
        </is>
      </c>
      <c r="S208">
        <f>HYPERLINK("https://klasma.github.io/Logging_1884/artfynd/A 65156-2020 artfynd.xlsx", "A 65156-2020")</f>
        <v/>
      </c>
      <c r="T208">
        <f>HYPERLINK("https://klasma.github.io/Logging_1884/kartor/A 65156-2020 karta.png", "A 65156-2020")</f>
        <v/>
      </c>
      <c r="V208">
        <f>HYPERLINK("https://klasma.github.io/Logging_1884/klagomål/A 65156-2020 FSC-klagomål.docx", "A 65156-2020")</f>
        <v/>
      </c>
      <c r="W208">
        <f>HYPERLINK("https://klasma.github.io/Logging_1884/klagomålsmail/A 65156-2020 FSC-klagomål mail.docx", "A 65156-2020")</f>
        <v/>
      </c>
      <c r="X208">
        <f>HYPERLINK("https://klasma.github.io/Logging_1884/tillsyn/A 65156-2020 tillsynsbegäran.docx", "A 65156-2020")</f>
        <v/>
      </c>
      <c r="Y208">
        <f>HYPERLINK("https://klasma.github.io/Logging_1884/tillsynsmail/A 65156-2020 tillsynsbegäran mail.docx", "A 65156-2020")</f>
        <v/>
      </c>
    </row>
    <row r="209" ht="15" customHeight="1">
      <c r="A209" t="inlineStr">
        <is>
          <t>A 128-2021</t>
        </is>
      </c>
      <c r="B209" s="1" t="n">
        <v>44200</v>
      </c>
      <c r="C209" s="1" t="n">
        <v>45222</v>
      </c>
      <c r="D209" t="inlineStr">
        <is>
          <t>ÖREBRO LÄN</t>
        </is>
      </c>
      <c r="E209" t="inlineStr">
        <is>
          <t>HÄLLEFORS</t>
        </is>
      </c>
      <c r="G209" t="n">
        <v>4.3</v>
      </c>
      <c r="H209" t="n">
        <v>1</v>
      </c>
      <c r="I209" t="n">
        <v>1</v>
      </c>
      <c r="J209" t="n">
        <v>0</v>
      </c>
      <c r="K209" t="n">
        <v>0</v>
      </c>
      <c r="L209" t="n">
        <v>0</v>
      </c>
      <c r="M209" t="n">
        <v>0</v>
      </c>
      <c r="N209" t="n">
        <v>0</v>
      </c>
      <c r="O209" t="n">
        <v>0</v>
      </c>
      <c r="P209" t="n">
        <v>0</v>
      </c>
      <c r="Q209" t="n">
        <v>1</v>
      </c>
      <c r="R209" s="2" t="inlineStr">
        <is>
          <t>Purpurknipprot</t>
        </is>
      </c>
      <c r="S209">
        <f>HYPERLINK("https://klasma.github.io/Logging_1863/artfynd/A 128-2021 artfynd.xlsx", "A 128-2021")</f>
        <v/>
      </c>
      <c r="T209">
        <f>HYPERLINK("https://klasma.github.io/Logging_1863/kartor/A 128-2021 karta.png", "A 128-2021")</f>
        <v/>
      </c>
      <c r="V209">
        <f>HYPERLINK("https://klasma.github.io/Logging_1863/klagomål/A 128-2021 FSC-klagomål.docx", "A 128-2021")</f>
        <v/>
      </c>
      <c r="W209">
        <f>HYPERLINK("https://klasma.github.io/Logging_1863/klagomålsmail/A 128-2021 FSC-klagomål mail.docx", "A 128-2021")</f>
        <v/>
      </c>
      <c r="X209">
        <f>HYPERLINK("https://klasma.github.io/Logging_1863/tillsyn/A 128-2021 tillsynsbegäran.docx", "A 128-2021")</f>
        <v/>
      </c>
      <c r="Y209">
        <f>HYPERLINK("https://klasma.github.io/Logging_1863/tillsynsmail/A 128-2021 tillsynsbegäran mail.docx", "A 128-2021")</f>
        <v/>
      </c>
    </row>
    <row r="210" ht="15" customHeight="1">
      <c r="A210" t="inlineStr">
        <is>
          <t>A 168-2021</t>
        </is>
      </c>
      <c r="B210" s="1" t="n">
        <v>44200</v>
      </c>
      <c r="C210" s="1" t="n">
        <v>45222</v>
      </c>
      <c r="D210" t="inlineStr">
        <is>
          <t>ÖREBRO LÄN</t>
        </is>
      </c>
      <c r="E210" t="inlineStr">
        <is>
          <t>ASKERSUND</t>
        </is>
      </c>
      <c r="G210" t="n">
        <v>4.7</v>
      </c>
      <c r="H210" t="n">
        <v>1</v>
      </c>
      <c r="I210" t="n">
        <v>0</v>
      </c>
      <c r="J210" t="n">
        <v>0</v>
      </c>
      <c r="K210" t="n">
        <v>1</v>
      </c>
      <c r="L210" t="n">
        <v>0</v>
      </c>
      <c r="M210" t="n">
        <v>0</v>
      </c>
      <c r="N210" t="n">
        <v>0</v>
      </c>
      <c r="O210" t="n">
        <v>1</v>
      </c>
      <c r="P210" t="n">
        <v>1</v>
      </c>
      <c r="Q210" t="n">
        <v>1</v>
      </c>
      <c r="R210" s="2" t="inlineStr">
        <is>
          <t>Knärot</t>
        </is>
      </c>
      <c r="S210">
        <f>HYPERLINK("https://klasma.github.io/Logging_1882/artfynd/A 168-2021 artfynd.xlsx", "A 168-2021")</f>
        <v/>
      </c>
      <c r="T210">
        <f>HYPERLINK("https://klasma.github.io/Logging_1882/kartor/A 168-2021 karta.png", "A 168-2021")</f>
        <v/>
      </c>
      <c r="U210">
        <f>HYPERLINK("https://klasma.github.io/Logging_1882/knärot/A 168-2021 karta knärot.png", "A 168-2021")</f>
        <v/>
      </c>
      <c r="V210">
        <f>HYPERLINK("https://klasma.github.io/Logging_1882/klagomål/A 168-2021 FSC-klagomål.docx", "A 168-2021")</f>
        <v/>
      </c>
      <c r="W210">
        <f>HYPERLINK("https://klasma.github.io/Logging_1882/klagomålsmail/A 168-2021 FSC-klagomål mail.docx", "A 168-2021")</f>
        <v/>
      </c>
      <c r="X210">
        <f>HYPERLINK("https://klasma.github.io/Logging_1882/tillsyn/A 168-2021 tillsynsbegäran.docx", "A 168-2021")</f>
        <v/>
      </c>
      <c r="Y210">
        <f>HYPERLINK("https://klasma.github.io/Logging_1882/tillsynsmail/A 168-2021 tillsynsbegäran mail.docx", "A 168-2021")</f>
        <v/>
      </c>
    </row>
    <row r="211" ht="15" customHeight="1">
      <c r="A211" t="inlineStr">
        <is>
          <t>A 4014-2021</t>
        </is>
      </c>
      <c r="B211" s="1" t="n">
        <v>44218</v>
      </c>
      <c r="C211" s="1" t="n">
        <v>45222</v>
      </c>
      <c r="D211" t="inlineStr">
        <is>
          <t>ÖREBRO LÄN</t>
        </is>
      </c>
      <c r="E211" t="inlineStr">
        <is>
          <t>ÖREBRO</t>
        </is>
      </c>
      <c r="G211" t="n">
        <v>10.5</v>
      </c>
      <c r="H211" t="n">
        <v>0</v>
      </c>
      <c r="I211" t="n">
        <v>1</v>
      </c>
      <c r="J211" t="n">
        <v>0</v>
      </c>
      <c r="K211" t="n">
        <v>0</v>
      </c>
      <c r="L211" t="n">
        <v>0</v>
      </c>
      <c r="M211" t="n">
        <v>0</v>
      </c>
      <c r="N211" t="n">
        <v>0</v>
      </c>
      <c r="O211" t="n">
        <v>0</v>
      </c>
      <c r="P211" t="n">
        <v>0</v>
      </c>
      <c r="Q211" t="n">
        <v>1</v>
      </c>
      <c r="R211" s="2" t="inlineStr">
        <is>
          <t>Springkorn</t>
        </is>
      </c>
      <c r="S211">
        <f>HYPERLINK("https://klasma.github.io/Logging_1880/artfynd/A 4014-2021 artfynd.xlsx", "A 4014-2021")</f>
        <v/>
      </c>
      <c r="T211">
        <f>HYPERLINK("https://klasma.github.io/Logging_1880/kartor/A 4014-2021 karta.png", "A 4014-2021")</f>
        <v/>
      </c>
      <c r="V211">
        <f>HYPERLINK("https://klasma.github.io/Logging_1880/klagomål/A 4014-2021 FSC-klagomål.docx", "A 4014-2021")</f>
        <v/>
      </c>
      <c r="W211">
        <f>HYPERLINK("https://klasma.github.io/Logging_1880/klagomålsmail/A 4014-2021 FSC-klagomål mail.docx", "A 4014-2021")</f>
        <v/>
      </c>
      <c r="X211">
        <f>HYPERLINK("https://klasma.github.io/Logging_1880/tillsyn/A 4014-2021 tillsynsbegäran.docx", "A 4014-2021")</f>
        <v/>
      </c>
      <c r="Y211">
        <f>HYPERLINK("https://klasma.github.io/Logging_1880/tillsynsmail/A 4014-2021 tillsynsbegäran mail.docx", "A 4014-2021")</f>
        <v/>
      </c>
    </row>
    <row r="212" ht="15" customHeight="1">
      <c r="A212" t="inlineStr">
        <is>
          <t>A 6926-2021</t>
        </is>
      </c>
      <c r="B212" s="1" t="n">
        <v>44237</v>
      </c>
      <c r="C212" s="1" t="n">
        <v>45222</v>
      </c>
      <c r="D212" t="inlineStr">
        <is>
          <t>ÖREBRO LÄN</t>
        </is>
      </c>
      <c r="E212" t="inlineStr">
        <is>
          <t>ÖREBRO</t>
        </is>
      </c>
      <c r="G212" t="n">
        <v>0.9</v>
      </c>
      <c r="H212" t="n">
        <v>1</v>
      </c>
      <c r="I212" t="n">
        <v>1</v>
      </c>
      <c r="J212" t="n">
        <v>0</v>
      </c>
      <c r="K212" t="n">
        <v>0</v>
      </c>
      <c r="L212" t="n">
        <v>0</v>
      </c>
      <c r="M212" t="n">
        <v>0</v>
      </c>
      <c r="N212" t="n">
        <v>0</v>
      </c>
      <c r="O212" t="n">
        <v>0</v>
      </c>
      <c r="P212" t="n">
        <v>0</v>
      </c>
      <c r="Q212" t="n">
        <v>1</v>
      </c>
      <c r="R212" s="2" t="inlineStr">
        <is>
          <t>Skogsknipprot</t>
        </is>
      </c>
      <c r="S212">
        <f>HYPERLINK("https://klasma.github.io/Logging_1880/artfynd/A 6926-2021 artfynd.xlsx", "A 6926-2021")</f>
        <v/>
      </c>
      <c r="T212">
        <f>HYPERLINK("https://klasma.github.io/Logging_1880/kartor/A 6926-2021 karta.png", "A 6926-2021")</f>
        <v/>
      </c>
      <c r="V212">
        <f>HYPERLINK("https://klasma.github.io/Logging_1880/klagomål/A 6926-2021 FSC-klagomål.docx", "A 6926-2021")</f>
        <v/>
      </c>
      <c r="W212">
        <f>HYPERLINK("https://klasma.github.io/Logging_1880/klagomålsmail/A 6926-2021 FSC-klagomål mail.docx", "A 6926-2021")</f>
        <v/>
      </c>
      <c r="X212">
        <f>HYPERLINK("https://klasma.github.io/Logging_1880/tillsyn/A 6926-2021 tillsynsbegäran.docx", "A 6926-2021")</f>
        <v/>
      </c>
      <c r="Y212">
        <f>HYPERLINK("https://klasma.github.io/Logging_1880/tillsynsmail/A 6926-2021 tillsynsbegäran mail.docx", "A 6926-2021")</f>
        <v/>
      </c>
    </row>
    <row r="213" ht="15" customHeight="1">
      <c r="A213" t="inlineStr">
        <is>
          <t>A 8256-2021</t>
        </is>
      </c>
      <c r="B213" s="1" t="n">
        <v>44244</v>
      </c>
      <c r="C213" s="1" t="n">
        <v>45222</v>
      </c>
      <c r="D213" t="inlineStr">
        <is>
          <t>ÖREBRO LÄN</t>
        </is>
      </c>
      <c r="E213" t="inlineStr">
        <is>
          <t>ÖREBRO</t>
        </is>
      </c>
      <c r="G213" t="n">
        <v>1</v>
      </c>
      <c r="H213" t="n">
        <v>0</v>
      </c>
      <c r="I213" t="n">
        <v>1</v>
      </c>
      <c r="J213" t="n">
        <v>0</v>
      </c>
      <c r="K213" t="n">
        <v>0</v>
      </c>
      <c r="L213" t="n">
        <v>0</v>
      </c>
      <c r="M213" t="n">
        <v>0</v>
      </c>
      <c r="N213" t="n">
        <v>0</v>
      </c>
      <c r="O213" t="n">
        <v>0</v>
      </c>
      <c r="P213" t="n">
        <v>0</v>
      </c>
      <c r="Q213" t="n">
        <v>1</v>
      </c>
      <c r="R213" s="2" t="inlineStr">
        <is>
          <t>Svart trolldruva</t>
        </is>
      </c>
      <c r="S213">
        <f>HYPERLINK("https://klasma.github.io/Logging_1880/artfynd/A 8256-2021 artfynd.xlsx", "A 8256-2021")</f>
        <v/>
      </c>
      <c r="T213">
        <f>HYPERLINK("https://klasma.github.io/Logging_1880/kartor/A 8256-2021 karta.png", "A 8256-2021")</f>
        <v/>
      </c>
      <c r="V213">
        <f>HYPERLINK("https://klasma.github.io/Logging_1880/klagomål/A 8256-2021 FSC-klagomål.docx", "A 8256-2021")</f>
        <v/>
      </c>
      <c r="W213">
        <f>HYPERLINK("https://klasma.github.io/Logging_1880/klagomålsmail/A 8256-2021 FSC-klagomål mail.docx", "A 8256-2021")</f>
        <v/>
      </c>
      <c r="X213">
        <f>HYPERLINK("https://klasma.github.io/Logging_1880/tillsyn/A 8256-2021 tillsynsbegäran.docx", "A 8256-2021")</f>
        <v/>
      </c>
      <c r="Y213">
        <f>HYPERLINK("https://klasma.github.io/Logging_1880/tillsynsmail/A 8256-2021 tillsynsbegäran mail.docx", "A 8256-2021")</f>
        <v/>
      </c>
    </row>
    <row r="214" ht="15" customHeight="1">
      <c r="A214" t="inlineStr">
        <is>
          <t>A 8577-2021</t>
        </is>
      </c>
      <c r="B214" s="1" t="n">
        <v>44245</v>
      </c>
      <c r="C214" s="1" t="n">
        <v>45222</v>
      </c>
      <c r="D214" t="inlineStr">
        <is>
          <t>ÖREBRO LÄN</t>
        </is>
      </c>
      <c r="E214" t="inlineStr">
        <is>
          <t>ÖREBRO</t>
        </is>
      </c>
      <c r="G214" t="n">
        <v>6.5</v>
      </c>
      <c r="H214" t="n">
        <v>0</v>
      </c>
      <c r="I214" t="n">
        <v>1</v>
      </c>
      <c r="J214" t="n">
        <v>0</v>
      </c>
      <c r="K214" t="n">
        <v>0</v>
      </c>
      <c r="L214" t="n">
        <v>0</v>
      </c>
      <c r="M214" t="n">
        <v>0</v>
      </c>
      <c r="N214" t="n">
        <v>0</v>
      </c>
      <c r="O214" t="n">
        <v>0</v>
      </c>
      <c r="P214" t="n">
        <v>0</v>
      </c>
      <c r="Q214" t="n">
        <v>1</v>
      </c>
      <c r="R214" s="2" t="inlineStr">
        <is>
          <t>Spädstarr</t>
        </is>
      </c>
      <c r="S214">
        <f>HYPERLINK("https://klasma.github.io/Logging_1880/artfynd/A 8577-2021 artfynd.xlsx", "A 8577-2021")</f>
        <v/>
      </c>
      <c r="T214">
        <f>HYPERLINK("https://klasma.github.io/Logging_1880/kartor/A 8577-2021 karta.png", "A 8577-2021")</f>
        <v/>
      </c>
      <c r="V214">
        <f>HYPERLINK("https://klasma.github.io/Logging_1880/klagomål/A 8577-2021 FSC-klagomål.docx", "A 8577-2021")</f>
        <v/>
      </c>
      <c r="W214">
        <f>HYPERLINK("https://klasma.github.io/Logging_1880/klagomålsmail/A 8577-2021 FSC-klagomål mail.docx", "A 8577-2021")</f>
        <v/>
      </c>
      <c r="X214">
        <f>HYPERLINK("https://klasma.github.io/Logging_1880/tillsyn/A 8577-2021 tillsynsbegäran.docx", "A 8577-2021")</f>
        <v/>
      </c>
      <c r="Y214">
        <f>HYPERLINK("https://klasma.github.io/Logging_1880/tillsynsmail/A 8577-2021 tillsynsbegäran mail.docx", "A 8577-2021")</f>
        <v/>
      </c>
    </row>
    <row r="215" ht="15" customHeight="1">
      <c r="A215" t="inlineStr">
        <is>
          <t>A 15621-2021</t>
        </is>
      </c>
      <c r="B215" s="1" t="n">
        <v>44285</v>
      </c>
      <c r="C215" s="1" t="n">
        <v>45222</v>
      </c>
      <c r="D215" t="inlineStr">
        <is>
          <t>ÖREBRO LÄN</t>
        </is>
      </c>
      <c r="E215" t="inlineStr">
        <is>
          <t>ÖREBRO</t>
        </is>
      </c>
      <c r="G215" t="n">
        <v>2.8</v>
      </c>
      <c r="H215" t="n">
        <v>1</v>
      </c>
      <c r="I215" t="n">
        <v>0</v>
      </c>
      <c r="J215" t="n">
        <v>0</v>
      </c>
      <c r="K215" t="n">
        <v>0</v>
      </c>
      <c r="L215" t="n">
        <v>0</v>
      </c>
      <c r="M215" t="n">
        <v>0</v>
      </c>
      <c r="N215" t="n">
        <v>0</v>
      </c>
      <c r="O215" t="n">
        <v>0</v>
      </c>
      <c r="P215" t="n">
        <v>0</v>
      </c>
      <c r="Q215" t="n">
        <v>1</v>
      </c>
      <c r="R215" s="2" t="inlineStr">
        <is>
          <t>Fläcknycklar</t>
        </is>
      </c>
      <c r="S215">
        <f>HYPERLINK("https://klasma.github.io/Logging_1880/artfynd/A 15621-2021 artfynd.xlsx", "A 15621-2021")</f>
        <v/>
      </c>
      <c r="T215">
        <f>HYPERLINK("https://klasma.github.io/Logging_1880/kartor/A 15621-2021 karta.png", "A 15621-2021")</f>
        <v/>
      </c>
      <c r="V215">
        <f>HYPERLINK("https://klasma.github.io/Logging_1880/klagomål/A 15621-2021 FSC-klagomål.docx", "A 15621-2021")</f>
        <v/>
      </c>
      <c r="W215">
        <f>HYPERLINK("https://klasma.github.io/Logging_1880/klagomålsmail/A 15621-2021 FSC-klagomål mail.docx", "A 15621-2021")</f>
        <v/>
      </c>
      <c r="X215">
        <f>HYPERLINK("https://klasma.github.io/Logging_1880/tillsyn/A 15621-2021 tillsynsbegäran.docx", "A 15621-2021")</f>
        <v/>
      </c>
      <c r="Y215">
        <f>HYPERLINK("https://klasma.github.io/Logging_1880/tillsynsmail/A 15621-2021 tillsynsbegäran mail.docx", "A 15621-2021")</f>
        <v/>
      </c>
    </row>
    <row r="216" ht="15" customHeight="1">
      <c r="A216" t="inlineStr">
        <is>
          <t>A 21181-2021</t>
        </is>
      </c>
      <c r="B216" s="1" t="n">
        <v>44320</v>
      </c>
      <c r="C216" s="1" t="n">
        <v>45222</v>
      </c>
      <c r="D216" t="inlineStr">
        <is>
          <t>ÖREBRO LÄN</t>
        </is>
      </c>
      <c r="E216" t="inlineStr">
        <is>
          <t>LINDESBERG</t>
        </is>
      </c>
      <c r="F216" t="inlineStr">
        <is>
          <t>Kommuner</t>
        </is>
      </c>
      <c r="G216" t="n">
        <v>1.1</v>
      </c>
      <c r="H216" t="n">
        <v>1</v>
      </c>
      <c r="I216" t="n">
        <v>0</v>
      </c>
      <c r="J216" t="n">
        <v>0</v>
      </c>
      <c r="K216" t="n">
        <v>0</v>
      </c>
      <c r="L216" t="n">
        <v>1</v>
      </c>
      <c r="M216" t="n">
        <v>0</v>
      </c>
      <c r="N216" t="n">
        <v>0</v>
      </c>
      <c r="O216" t="n">
        <v>1</v>
      </c>
      <c r="P216" t="n">
        <v>1</v>
      </c>
      <c r="Q216" t="n">
        <v>1</v>
      </c>
      <c r="R216" s="2" t="inlineStr">
        <is>
          <t>Asknätfjäril</t>
        </is>
      </c>
      <c r="S216">
        <f>HYPERLINK("https://klasma.github.io/Logging_1885/artfynd/A 21181-2021 artfynd.xlsx", "A 21181-2021")</f>
        <v/>
      </c>
      <c r="T216">
        <f>HYPERLINK("https://klasma.github.io/Logging_1885/kartor/A 21181-2021 karta.png", "A 21181-2021")</f>
        <v/>
      </c>
      <c r="V216">
        <f>HYPERLINK("https://klasma.github.io/Logging_1885/klagomål/A 21181-2021 FSC-klagomål.docx", "A 21181-2021")</f>
        <v/>
      </c>
      <c r="W216">
        <f>HYPERLINK("https://klasma.github.io/Logging_1885/klagomålsmail/A 21181-2021 FSC-klagomål mail.docx", "A 21181-2021")</f>
        <v/>
      </c>
      <c r="X216">
        <f>HYPERLINK("https://klasma.github.io/Logging_1885/tillsyn/A 21181-2021 tillsynsbegäran.docx", "A 21181-2021")</f>
        <v/>
      </c>
      <c r="Y216">
        <f>HYPERLINK("https://klasma.github.io/Logging_1885/tillsynsmail/A 21181-2021 tillsynsbegäran mail.docx", "A 21181-2021")</f>
        <v/>
      </c>
    </row>
    <row r="217" ht="15" customHeight="1">
      <c r="A217" t="inlineStr">
        <is>
          <t>A 26328-2021</t>
        </is>
      </c>
      <c r="B217" s="1" t="n">
        <v>44347</v>
      </c>
      <c r="C217" s="1" t="n">
        <v>45222</v>
      </c>
      <c r="D217" t="inlineStr">
        <is>
          <t>ÖREBRO LÄN</t>
        </is>
      </c>
      <c r="E217" t="inlineStr">
        <is>
          <t>NORA</t>
        </is>
      </c>
      <c r="G217" t="n">
        <v>5.7</v>
      </c>
      <c r="H217" t="n">
        <v>1</v>
      </c>
      <c r="I217" t="n">
        <v>0</v>
      </c>
      <c r="J217" t="n">
        <v>0</v>
      </c>
      <c r="K217" t="n">
        <v>0</v>
      </c>
      <c r="L217" t="n">
        <v>0</v>
      </c>
      <c r="M217" t="n">
        <v>0</v>
      </c>
      <c r="N217" t="n">
        <v>0</v>
      </c>
      <c r="O217" t="n">
        <v>0</v>
      </c>
      <c r="P217" t="n">
        <v>0</v>
      </c>
      <c r="Q217" t="n">
        <v>1</v>
      </c>
      <c r="R217" s="2" t="inlineStr">
        <is>
          <t>Blåsippa</t>
        </is>
      </c>
      <c r="S217">
        <f>HYPERLINK("https://klasma.github.io/Logging_1884/artfynd/A 26328-2021 artfynd.xlsx", "A 26328-2021")</f>
        <v/>
      </c>
      <c r="T217">
        <f>HYPERLINK("https://klasma.github.io/Logging_1884/kartor/A 26328-2021 karta.png", "A 26328-2021")</f>
        <v/>
      </c>
      <c r="V217">
        <f>HYPERLINK("https://klasma.github.io/Logging_1884/klagomål/A 26328-2021 FSC-klagomål.docx", "A 26328-2021")</f>
        <v/>
      </c>
      <c r="W217">
        <f>HYPERLINK("https://klasma.github.io/Logging_1884/klagomålsmail/A 26328-2021 FSC-klagomål mail.docx", "A 26328-2021")</f>
        <v/>
      </c>
      <c r="X217">
        <f>HYPERLINK("https://klasma.github.io/Logging_1884/tillsyn/A 26328-2021 tillsynsbegäran.docx", "A 26328-2021")</f>
        <v/>
      </c>
      <c r="Y217">
        <f>HYPERLINK("https://klasma.github.io/Logging_1884/tillsynsmail/A 26328-2021 tillsynsbegäran mail.docx", "A 26328-2021")</f>
        <v/>
      </c>
    </row>
    <row r="218" ht="15" customHeight="1">
      <c r="A218" t="inlineStr">
        <is>
          <t>A 27721-2021</t>
        </is>
      </c>
      <c r="B218" s="1" t="n">
        <v>44354</v>
      </c>
      <c r="C218" s="1" t="n">
        <v>45222</v>
      </c>
      <c r="D218" t="inlineStr">
        <is>
          <t>ÖREBRO LÄN</t>
        </is>
      </c>
      <c r="E218" t="inlineStr">
        <is>
          <t>KARLSKOGA</t>
        </is>
      </c>
      <c r="F218" t="inlineStr">
        <is>
          <t>Sveaskog</t>
        </is>
      </c>
      <c r="G218" t="n">
        <v>1.9</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HYPERLINK("https://klasma.github.io/Logging_1883/artfynd/A 27721-2021 artfynd.xlsx", "A 27721-2021")</f>
        <v/>
      </c>
      <c r="T218">
        <f>HYPERLINK("https://klasma.github.io/Logging_1883/kartor/A 27721-2021 karta.png", "A 27721-2021")</f>
        <v/>
      </c>
      <c r="V218">
        <f>HYPERLINK("https://klasma.github.io/Logging_1883/klagomål/A 27721-2021 FSC-klagomål.docx", "A 27721-2021")</f>
        <v/>
      </c>
      <c r="W218">
        <f>HYPERLINK("https://klasma.github.io/Logging_1883/klagomålsmail/A 27721-2021 FSC-klagomål mail.docx", "A 27721-2021")</f>
        <v/>
      </c>
      <c r="X218">
        <f>HYPERLINK("https://klasma.github.io/Logging_1883/tillsyn/A 27721-2021 tillsynsbegäran.docx", "A 27721-2021")</f>
        <v/>
      </c>
      <c r="Y218">
        <f>HYPERLINK("https://klasma.github.io/Logging_1883/tillsynsmail/A 27721-2021 tillsynsbegäran mail.docx", "A 27721-2021")</f>
        <v/>
      </c>
    </row>
    <row r="219" ht="15" customHeight="1">
      <c r="A219" t="inlineStr">
        <is>
          <t>A 28140-2021</t>
        </is>
      </c>
      <c r="B219" s="1" t="n">
        <v>44355</v>
      </c>
      <c r="C219" s="1" t="n">
        <v>45222</v>
      </c>
      <c r="D219" t="inlineStr">
        <is>
          <t>ÖREBRO LÄN</t>
        </is>
      </c>
      <c r="E219" t="inlineStr">
        <is>
          <t>HALLSBERG</t>
        </is>
      </c>
      <c r="F219" t="inlineStr">
        <is>
          <t>Sveaskog</t>
        </is>
      </c>
      <c r="G219" t="n">
        <v>1.5</v>
      </c>
      <c r="H219" t="n">
        <v>0</v>
      </c>
      <c r="I219" t="n">
        <v>0</v>
      </c>
      <c r="J219" t="n">
        <v>1</v>
      </c>
      <c r="K219" t="n">
        <v>0</v>
      </c>
      <c r="L219" t="n">
        <v>0</v>
      </c>
      <c r="M219" t="n">
        <v>0</v>
      </c>
      <c r="N219" t="n">
        <v>0</v>
      </c>
      <c r="O219" t="n">
        <v>1</v>
      </c>
      <c r="P219" t="n">
        <v>0</v>
      </c>
      <c r="Q219" t="n">
        <v>1</v>
      </c>
      <c r="R219" s="2" t="inlineStr">
        <is>
          <t>Skogsklocka</t>
        </is>
      </c>
      <c r="S219">
        <f>HYPERLINK("https://klasma.github.io/Logging_1861/artfynd/A 28140-2021 artfynd.xlsx", "A 28140-2021")</f>
        <v/>
      </c>
      <c r="T219">
        <f>HYPERLINK("https://klasma.github.io/Logging_1861/kartor/A 28140-2021 karta.png", "A 28140-2021")</f>
        <v/>
      </c>
      <c r="V219">
        <f>HYPERLINK("https://klasma.github.io/Logging_1861/klagomål/A 28140-2021 FSC-klagomål.docx", "A 28140-2021")</f>
        <v/>
      </c>
      <c r="W219">
        <f>HYPERLINK("https://klasma.github.io/Logging_1861/klagomålsmail/A 28140-2021 FSC-klagomål mail.docx", "A 28140-2021")</f>
        <v/>
      </c>
      <c r="X219">
        <f>HYPERLINK("https://klasma.github.io/Logging_1861/tillsyn/A 28140-2021 tillsynsbegäran.docx", "A 28140-2021")</f>
        <v/>
      </c>
      <c r="Y219">
        <f>HYPERLINK("https://klasma.github.io/Logging_1861/tillsynsmail/A 28140-2021 tillsynsbegäran mail.docx", "A 28140-2021")</f>
        <v/>
      </c>
    </row>
    <row r="220" ht="15" customHeight="1">
      <c r="A220" t="inlineStr">
        <is>
          <t>A 32595-2021</t>
        </is>
      </c>
      <c r="B220" s="1" t="n">
        <v>44375</v>
      </c>
      <c r="C220" s="1" t="n">
        <v>45222</v>
      </c>
      <c r="D220" t="inlineStr">
        <is>
          <t>ÖREBRO LÄN</t>
        </is>
      </c>
      <c r="E220" t="inlineStr">
        <is>
          <t>ÖREBRO</t>
        </is>
      </c>
      <c r="F220" t="inlineStr">
        <is>
          <t>Kommuner</t>
        </is>
      </c>
      <c r="G220" t="n">
        <v>2.7</v>
      </c>
      <c r="H220" t="n">
        <v>1</v>
      </c>
      <c r="I220" t="n">
        <v>1</v>
      </c>
      <c r="J220" t="n">
        <v>0</v>
      </c>
      <c r="K220" t="n">
        <v>0</v>
      </c>
      <c r="L220" t="n">
        <v>0</v>
      </c>
      <c r="M220" t="n">
        <v>0</v>
      </c>
      <c r="N220" t="n">
        <v>0</v>
      </c>
      <c r="O220" t="n">
        <v>0</v>
      </c>
      <c r="P220" t="n">
        <v>0</v>
      </c>
      <c r="Q220" t="n">
        <v>1</v>
      </c>
      <c r="R220" s="2" t="inlineStr">
        <is>
          <t>Purpurknipprot</t>
        </is>
      </c>
      <c r="S220">
        <f>HYPERLINK("https://klasma.github.io/Logging_1880/artfynd/A 32595-2021 artfynd.xlsx", "A 32595-2021")</f>
        <v/>
      </c>
      <c r="T220">
        <f>HYPERLINK("https://klasma.github.io/Logging_1880/kartor/A 32595-2021 karta.png", "A 32595-2021")</f>
        <v/>
      </c>
      <c r="V220">
        <f>HYPERLINK("https://klasma.github.io/Logging_1880/klagomål/A 32595-2021 FSC-klagomål.docx", "A 32595-2021")</f>
        <v/>
      </c>
      <c r="W220">
        <f>HYPERLINK("https://klasma.github.io/Logging_1880/klagomålsmail/A 32595-2021 FSC-klagomål mail.docx", "A 32595-2021")</f>
        <v/>
      </c>
      <c r="X220">
        <f>HYPERLINK("https://klasma.github.io/Logging_1880/tillsyn/A 32595-2021 tillsynsbegäran.docx", "A 32595-2021")</f>
        <v/>
      </c>
      <c r="Y220">
        <f>HYPERLINK("https://klasma.github.io/Logging_1880/tillsynsmail/A 32595-2021 tillsynsbegäran mail.docx", "A 32595-2021")</f>
        <v/>
      </c>
    </row>
    <row r="221" ht="15" customHeight="1">
      <c r="A221" t="inlineStr">
        <is>
          <t>A 32713-2021</t>
        </is>
      </c>
      <c r="B221" s="1" t="n">
        <v>44375</v>
      </c>
      <c r="C221" s="1" t="n">
        <v>45222</v>
      </c>
      <c r="D221" t="inlineStr">
        <is>
          <t>ÖREBRO LÄN</t>
        </is>
      </c>
      <c r="E221" t="inlineStr">
        <is>
          <t>LINDESBERG</t>
        </is>
      </c>
      <c r="F221" t="inlineStr">
        <is>
          <t>Kommuner</t>
        </is>
      </c>
      <c r="G221" t="n">
        <v>3.9</v>
      </c>
      <c r="H221" t="n">
        <v>0</v>
      </c>
      <c r="I221" t="n">
        <v>0</v>
      </c>
      <c r="J221" t="n">
        <v>0</v>
      </c>
      <c r="K221" t="n">
        <v>0</v>
      </c>
      <c r="L221" t="n">
        <v>1</v>
      </c>
      <c r="M221" t="n">
        <v>0</v>
      </c>
      <c r="N221" t="n">
        <v>0</v>
      </c>
      <c r="O221" t="n">
        <v>1</v>
      </c>
      <c r="P221" t="n">
        <v>1</v>
      </c>
      <c r="Q221" t="n">
        <v>1</v>
      </c>
      <c r="R221" s="2" t="inlineStr">
        <is>
          <t>Ask</t>
        </is>
      </c>
      <c r="S221">
        <f>HYPERLINK("https://klasma.github.io/Logging_1885/artfynd/A 32713-2021 artfynd.xlsx", "A 32713-2021")</f>
        <v/>
      </c>
      <c r="T221">
        <f>HYPERLINK("https://klasma.github.io/Logging_1885/kartor/A 32713-2021 karta.png", "A 32713-2021")</f>
        <v/>
      </c>
      <c r="V221">
        <f>HYPERLINK("https://klasma.github.io/Logging_1885/klagomål/A 32713-2021 FSC-klagomål.docx", "A 32713-2021")</f>
        <v/>
      </c>
      <c r="W221">
        <f>HYPERLINK("https://klasma.github.io/Logging_1885/klagomålsmail/A 32713-2021 FSC-klagomål mail.docx", "A 32713-2021")</f>
        <v/>
      </c>
      <c r="X221">
        <f>HYPERLINK("https://klasma.github.io/Logging_1885/tillsyn/A 32713-2021 tillsynsbegäran.docx", "A 32713-2021")</f>
        <v/>
      </c>
      <c r="Y221">
        <f>HYPERLINK("https://klasma.github.io/Logging_1885/tillsynsmail/A 32713-2021 tillsynsbegäran mail.docx", "A 32713-2021")</f>
        <v/>
      </c>
    </row>
    <row r="222" ht="15" customHeight="1">
      <c r="A222" t="inlineStr">
        <is>
          <t>A 39575-2021</t>
        </is>
      </c>
      <c r="B222" s="1" t="n">
        <v>44416</v>
      </c>
      <c r="C222" s="1" t="n">
        <v>45222</v>
      </c>
      <c r="D222" t="inlineStr">
        <is>
          <t>ÖREBRO LÄN</t>
        </is>
      </c>
      <c r="E222" t="inlineStr">
        <is>
          <t>ASKERSUND</t>
        </is>
      </c>
      <c r="G222" t="n">
        <v>0.6</v>
      </c>
      <c r="H222" t="n">
        <v>1</v>
      </c>
      <c r="I222" t="n">
        <v>0</v>
      </c>
      <c r="J222" t="n">
        <v>0</v>
      </c>
      <c r="K222" t="n">
        <v>0</v>
      </c>
      <c r="L222" t="n">
        <v>0</v>
      </c>
      <c r="M222" t="n">
        <v>0</v>
      </c>
      <c r="N222" t="n">
        <v>0</v>
      </c>
      <c r="O222" t="n">
        <v>0</v>
      </c>
      <c r="P222" t="n">
        <v>0</v>
      </c>
      <c r="Q222" t="n">
        <v>1</v>
      </c>
      <c r="R222" s="2" t="inlineStr">
        <is>
          <t>Blåsippa</t>
        </is>
      </c>
      <c r="S222">
        <f>HYPERLINK("https://klasma.github.io/Logging_1882/artfynd/A 39575-2021 artfynd.xlsx", "A 39575-2021")</f>
        <v/>
      </c>
      <c r="T222">
        <f>HYPERLINK("https://klasma.github.io/Logging_1882/kartor/A 39575-2021 karta.png", "A 39575-2021")</f>
        <v/>
      </c>
      <c r="V222">
        <f>HYPERLINK("https://klasma.github.io/Logging_1882/klagomål/A 39575-2021 FSC-klagomål.docx", "A 39575-2021")</f>
        <v/>
      </c>
      <c r="W222">
        <f>HYPERLINK("https://klasma.github.io/Logging_1882/klagomålsmail/A 39575-2021 FSC-klagomål mail.docx", "A 39575-2021")</f>
        <v/>
      </c>
      <c r="X222">
        <f>HYPERLINK("https://klasma.github.io/Logging_1882/tillsyn/A 39575-2021 tillsynsbegäran.docx", "A 39575-2021")</f>
        <v/>
      </c>
      <c r="Y222">
        <f>HYPERLINK("https://klasma.github.io/Logging_1882/tillsynsmail/A 39575-2021 tillsynsbegäran mail.docx", "A 39575-2021")</f>
        <v/>
      </c>
    </row>
    <row r="223" ht="15" customHeight="1">
      <c r="A223" t="inlineStr">
        <is>
          <t>A 44389-2021</t>
        </is>
      </c>
      <c r="B223" s="1" t="n">
        <v>44435</v>
      </c>
      <c r="C223" s="1" t="n">
        <v>45222</v>
      </c>
      <c r="D223" t="inlineStr">
        <is>
          <t>ÖREBRO LÄN</t>
        </is>
      </c>
      <c r="E223" t="inlineStr">
        <is>
          <t>ÖREBRO</t>
        </is>
      </c>
      <c r="G223" t="n">
        <v>2.2</v>
      </c>
      <c r="H223" t="n">
        <v>1</v>
      </c>
      <c r="I223" t="n">
        <v>0</v>
      </c>
      <c r="J223" t="n">
        <v>0</v>
      </c>
      <c r="K223" t="n">
        <v>1</v>
      </c>
      <c r="L223" t="n">
        <v>0</v>
      </c>
      <c r="M223" t="n">
        <v>0</v>
      </c>
      <c r="N223" t="n">
        <v>0</v>
      </c>
      <c r="O223" t="n">
        <v>1</v>
      </c>
      <c r="P223" t="n">
        <v>1</v>
      </c>
      <c r="Q223" t="n">
        <v>1</v>
      </c>
      <c r="R223" s="2" t="inlineStr">
        <is>
          <t>Knärot</t>
        </is>
      </c>
      <c r="S223">
        <f>HYPERLINK("https://klasma.github.io/Logging_1880/artfynd/A 44389-2021 artfynd.xlsx", "A 44389-2021")</f>
        <v/>
      </c>
      <c r="T223">
        <f>HYPERLINK("https://klasma.github.io/Logging_1880/kartor/A 44389-2021 karta.png", "A 44389-2021")</f>
        <v/>
      </c>
      <c r="U223">
        <f>HYPERLINK("https://klasma.github.io/Logging_1880/knärot/A 44389-2021 karta knärot.png", "A 44389-2021")</f>
        <v/>
      </c>
      <c r="V223">
        <f>HYPERLINK("https://klasma.github.io/Logging_1880/klagomål/A 44389-2021 FSC-klagomål.docx", "A 44389-2021")</f>
        <v/>
      </c>
      <c r="W223">
        <f>HYPERLINK("https://klasma.github.io/Logging_1880/klagomålsmail/A 44389-2021 FSC-klagomål mail.docx", "A 44389-2021")</f>
        <v/>
      </c>
      <c r="X223">
        <f>HYPERLINK("https://klasma.github.io/Logging_1880/tillsyn/A 44389-2021 tillsynsbegäran.docx", "A 44389-2021")</f>
        <v/>
      </c>
      <c r="Y223">
        <f>HYPERLINK("https://klasma.github.io/Logging_1880/tillsynsmail/A 44389-2021 tillsynsbegäran mail.docx", "A 44389-2021")</f>
        <v/>
      </c>
    </row>
    <row r="224" ht="15" customHeight="1">
      <c r="A224" t="inlineStr">
        <is>
          <t>A 48684-2021</t>
        </is>
      </c>
      <c r="B224" s="1" t="n">
        <v>44452</v>
      </c>
      <c r="C224" s="1" t="n">
        <v>45222</v>
      </c>
      <c r="D224" t="inlineStr">
        <is>
          <t>ÖREBRO LÄN</t>
        </is>
      </c>
      <c r="E224" t="inlineStr">
        <is>
          <t>ASKERSUND</t>
        </is>
      </c>
      <c r="G224" t="n">
        <v>1.4</v>
      </c>
      <c r="H224" t="n">
        <v>1</v>
      </c>
      <c r="I224" t="n">
        <v>0</v>
      </c>
      <c r="J224" t="n">
        <v>1</v>
      </c>
      <c r="K224" t="n">
        <v>0</v>
      </c>
      <c r="L224" t="n">
        <v>0</v>
      </c>
      <c r="M224" t="n">
        <v>0</v>
      </c>
      <c r="N224" t="n">
        <v>0</v>
      </c>
      <c r="O224" t="n">
        <v>1</v>
      </c>
      <c r="P224" t="n">
        <v>0</v>
      </c>
      <c r="Q224" t="n">
        <v>1</v>
      </c>
      <c r="R224" s="2" t="inlineStr">
        <is>
          <t>Utter</t>
        </is>
      </c>
      <c r="S224">
        <f>HYPERLINK("https://klasma.github.io/Logging_1882/artfynd/A 48684-2021 artfynd.xlsx", "A 48684-2021")</f>
        <v/>
      </c>
      <c r="T224">
        <f>HYPERLINK("https://klasma.github.io/Logging_1882/kartor/A 48684-2021 karta.png", "A 48684-2021")</f>
        <v/>
      </c>
      <c r="V224">
        <f>HYPERLINK("https://klasma.github.io/Logging_1882/klagomål/A 48684-2021 FSC-klagomål.docx", "A 48684-2021")</f>
        <v/>
      </c>
      <c r="W224">
        <f>HYPERLINK("https://klasma.github.io/Logging_1882/klagomålsmail/A 48684-2021 FSC-klagomål mail.docx", "A 48684-2021")</f>
        <v/>
      </c>
      <c r="X224">
        <f>HYPERLINK("https://klasma.github.io/Logging_1882/tillsyn/A 48684-2021 tillsynsbegäran.docx", "A 48684-2021")</f>
        <v/>
      </c>
      <c r="Y224">
        <f>HYPERLINK("https://klasma.github.io/Logging_1882/tillsynsmail/A 48684-2021 tillsynsbegäran mail.docx", "A 48684-2021")</f>
        <v/>
      </c>
    </row>
    <row r="225" ht="15" customHeight="1">
      <c r="A225" t="inlineStr">
        <is>
          <t>A 51319-2021</t>
        </is>
      </c>
      <c r="B225" s="1" t="n">
        <v>44461</v>
      </c>
      <c r="C225" s="1" t="n">
        <v>45222</v>
      </c>
      <c r="D225" t="inlineStr">
        <is>
          <t>ÖREBRO LÄN</t>
        </is>
      </c>
      <c r="E225" t="inlineStr">
        <is>
          <t>ASKERSUND</t>
        </is>
      </c>
      <c r="F225" t="inlineStr">
        <is>
          <t>Sveaskog</t>
        </is>
      </c>
      <c r="G225" t="n">
        <v>2</v>
      </c>
      <c r="H225" t="n">
        <v>0</v>
      </c>
      <c r="I225" t="n">
        <v>0</v>
      </c>
      <c r="J225" t="n">
        <v>1</v>
      </c>
      <c r="K225" t="n">
        <v>0</v>
      </c>
      <c r="L225" t="n">
        <v>0</v>
      </c>
      <c r="M225" t="n">
        <v>0</v>
      </c>
      <c r="N225" t="n">
        <v>0</v>
      </c>
      <c r="O225" t="n">
        <v>1</v>
      </c>
      <c r="P225" t="n">
        <v>0</v>
      </c>
      <c r="Q225" t="n">
        <v>1</v>
      </c>
      <c r="R225" s="2" t="inlineStr">
        <is>
          <t>Sexfläckig bastardsvärmare</t>
        </is>
      </c>
      <c r="S225">
        <f>HYPERLINK("https://klasma.github.io/Logging_1882/artfynd/A 51319-2021 artfynd.xlsx", "A 51319-2021")</f>
        <v/>
      </c>
      <c r="T225">
        <f>HYPERLINK("https://klasma.github.io/Logging_1882/kartor/A 51319-2021 karta.png", "A 51319-2021")</f>
        <v/>
      </c>
      <c r="V225">
        <f>HYPERLINK("https://klasma.github.io/Logging_1882/klagomål/A 51319-2021 FSC-klagomål.docx", "A 51319-2021")</f>
        <v/>
      </c>
      <c r="W225">
        <f>HYPERLINK("https://klasma.github.io/Logging_1882/klagomålsmail/A 51319-2021 FSC-klagomål mail.docx", "A 51319-2021")</f>
        <v/>
      </c>
      <c r="X225">
        <f>HYPERLINK("https://klasma.github.io/Logging_1882/tillsyn/A 51319-2021 tillsynsbegäran.docx", "A 51319-2021")</f>
        <v/>
      </c>
      <c r="Y225">
        <f>HYPERLINK("https://klasma.github.io/Logging_1882/tillsynsmail/A 51319-2021 tillsynsbegäran mail.docx", "A 51319-2021")</f>
        <v/>
      </c>
    </row>
    <row r="226" ht="15" customHeight="1">
      <c r="A226" t="inlineStr">
        <is>
          <t>A 52079-2021</t>
        </is>
      </c>
      <c r="B226" s="1" t="n">
        <v>44463</v>
      </c>
      <c r="C226" s="1" t="n">
        <v>45222</v>
      </c>
      <c r="D226" t="inlineStr">
        <is>
          <t>ÖREBRO LÄN</t>
        </is>
      </c>
      <c r="E226" t="inlineStr">
        <is>
          <t>HÄLLEFORS</t>
        </is>
      </c>
      <c r="F226" t="inlineStr">
        <is>
          <t>Bergvik skog väst AB</t>
        </is>
      </c>
      <c r="G226" t="n">
        <v>21.6</v>
      </c>
      <c r="H226" t="n">
        <v>0</v>
      </c>
      <c r="I226" t="n">
        <v>0</v>
      </c>
      <c r="J226" t="n">
        <v>1</v>
      </c>
      <c r="K226" t="n">
        <v>0</v>
      </c>
      <c r="L226" t="n">
        <v>0</v>
      </c>
      <c r="M226" t="n">
        <v>0</v>
      </c>
      <c r="N226" t="n">
        <v>0</v>
      </c>
      <c r="O226" t="n">
        <v>1</v>
      </c>
      <c r="P226" t="n">
        <v>0</v>
      </c>
      <c r="Q226" t="n">
        <v>1</v>
      </c>
      <c r="R226" s="2" t="inlineStr">
        <is>
          <t>Lunglav</t>
        </is>
      </c>
      <c r="S226">
        <f>HYPERLINK("https://klasma.github.io/Logging_1863/artfynd/A 52079-2021 artfynd.xlsx", "A 52079-2021")</f>
        <v/>
      </c>
      <c r="T226">
        <f>HYPERLINK("https://klasma.github.io/Logging_1863/kartor/A 52079-2021 karta.png", "A 52079-2021")</f>
        <v/>
      </c>
      <c r="V226">
        <f>HYPERLINK("https://klasma.github.io/Logging_1863/klagomål/A 52079-2021 FSC-klagomål.docx", "A 52079-2021")</f>
        <v/>
      </c>
      <c r="W226">
        <f>HYPERLINK("https://klasma.github.io/Logging_1863/klagomålsmail/A 52079-2021 FSC-klagomål mail.docx", "A 52079-2021")</f>
        <v/>
      </c>
      <c r="X226">
        <f>HYPERLINK("https://klasma.github.io/Logging_1863/tillsyn/A 52079-2021 tillsynsbegäran.docx", "A 52079-2021")</f>
        <v/>
      </c>
      <c r="Y226">
        <f>HYPERLINK("https://klasma.github.io/Logging_1863/tillsynsmail/A 52079-2021 tillsynsbegäran mail.docx", "A 52079-2021")</f>
        <v/>
      </c>
    </row>
    <row r="227" ht="15" customHeight="1">
      <c r="A227" t="inlineStr">
        <is>
          <t>A 55832-2021</t>
        </is>
      </c>
      <c r="B227" s="1" t="n">
        <v>44476</v>
      </c>
      <c r="C227" s="1" t="n">
        <v>45222</v>
      </c>
      <c r="D227" t="inlineStr">
        <is>
          <t>ÖREBRO LÄN</t>
        </is>
      </c>
      <c r="E227" t="inlineStr">
        <is>
          <t>ASKERSUND</t>
        </is>
      </c>
      <c r="F227" t="inlineStr">
        <is>
          <t>Sveaskog</t>
        </is>
      </c>
      <c r="G227" t="n">
        <v>3.2</v>
      </c>
      <c r="H227" t="n">
        <v>0</v>
      </c>
      <c r="I227" t="n">
        <v>0</v>
      </c>
      <c r="J227" t="n">
        <v>0</v>
      </c>
      <c r="K227" t="n">
        <v>1</v>
      </c>
      <c r="L227" t="n">
        <v>0</v>
      </c>
      <c r="M227" t="n">
        <v>0</v>
      </c>
      <c r="N227" t="n">
        <v>0</v>
      </c>
      <c r="O227" t="n">
        <v>1</v>
      </c>
      <c r="P227" t="n">
        <v>1</v>
      </c>
      <c r="Q227" t="n">
        <v>1</v>
      </c>
      <c r="R227" s="2" t="inlineStr">
        <is>
          <t>Slåttergubbe</t>
        </is>
      </c>
      <c r="S227">
        <f>HYPERLINK("https://klasma.github.io/Logging_1882/artfynd/A 55832-2021 artfynd.xlsx", "A 55832-2021")</f>
        <v/>
      </c>
      <c r="T227">
        <f>HYPERLINK("https://klasma.github.io/Logging_1882/kartor/A 55832-2021 karta.png", "A 55832-2021")</f>
        <v/>
      </c>
      <c r="V227">
        <f>HYPERLINK("https://klasma.github.io/Logging_1882/klagomål/A 55832-2021 FSC-klagomål.docx", "A 55832-2021")</f>
        <v/>
      </c>
      <c r="W227">
        <f>HYPERLINK("https://klasma.github.io/Logging_1882/klagomålsmail/A 55832-2021 FSC-klagomål mail.docx", "A 55832-2021")</f>
        <v/>
      </c>
      <c r="X227">
        <f>HYPERLINK("https://klasma.github.io/Logging_1882/tillsyn/A 55832-2021 tillsynsbegäran.docx", "A 55832-2021")</f>
        <v/>
      </c>
      <c r="Y227">
        <f>HYPERLINK("https://klasma.github.io/Logging_1882/tillsynsmail/A 55832-2021 tillsynsbegäran mail.docx", "A 55832-2021")</f>
        <v/>
      </c>
    </row>
    <row r="228" ht="15" customHeight="1">
      <c r="A228" t="inlineStr">
        <is>
          <t>A 56068-2021</t>
        </is>
      </c>
      <c r="B228" s="1" t="n">
        <v>44477</v>
      </c>
      <c r="C228" s="1" t="n">
        <v>45222</v>
      </c>
      <c r="D228" t="inlineStr">
        <is>
          <t>ÖREBRO LÄN</t>
        </is>
      </c>
      <c r="E228" t="inlineStr">
        <is>
          <t>HALLSBERG</t>
        </is>
      </c>
      <c r="G228" t="n">
        <v>7.7</v>
      </c>
      <c r="H228" t="n">
        <v>1</v>
      </c>
      <c r="I228" t="n">
        <v>0</v>
      </c>
      <c r="J228" t="n">
        <v>0</v>
      </c>
      <c r="K228" t="n">
        <v>0</v>
      </c>
      <c r="L228" t="n">
        <v>0</v>
      </c>
      <c r="M228" t="n">
        <v>0</v>
      </c>
      <c r="N228" t="n">
        <v>0</v>
      </c>
      <c r="O228" t="n">
        <v>0</v>
      </c>
      <c r="P228" t="n">
        <v>0</v>
      </c>
      <c r="Q228" t="n">
        <v>1</v>
      </c>
      <c r="R228" s="2" t="inlineStr">
        <is>
          <t>Huggorm</t>
        </is>
      </c>
      <c r="S228">
        <f>HYPERLINK("https://klasma.github.io/Logging_1861/artfynd/A 56068-2021 artfynd.xlsx", "A 56068-2021")</f>
        <v/>
      </c>
      <c r="T228">
        <f>HYPERLINK("https://klasma.github.io/Logging_1861/kartor/A 56068-2021 karta.png", "A 56068-2021")</f>
        <v/>
      </c>
      <c r="V228">
        <f>HYPERLINK("https://klasma.github.io/Logging_1861/klagomål/A 56068-2021 FSC-klagomål.docx", "A 56068-2021")</f>
        <v/>
      </c>
      <c r="W228">
        <f>HYPERLINK("https://klasma.github.io/Logging_1861/klagomålsmail/A 56068-2021 FSC-klagomål mail.docx", "A 56068-2021")</f>
        <v/>
      </c>
      <c r="X228">
        <f>HYPERLINK("https://klasma.github.io/Logging_1861/tillsyn/A 56068-2021 tillsynsbegäran.docx", "A 56068-2021")</f>
        <v/>
      </c>
      <c r="Y228">
        <f>HYPERLINK("https://klasma.github.io/Logging_1861/tillsynsmail/A 56068-2021 tillsynsbegäran mail.docx", "A 56068-2021")</f>
        <v/>
      </c>
    </row>
    <row r="229" ht="15" customHeight="1">
      <c r="A229" t="inlineStr">
        <is>
          <t>A 57108-2021</t>
        </is>
      </c>
      <c r="B229" s="1" t="n">
        <v>44482</v>
      </c>
      <c r="C229" s="1" t="n">
        <v>45222</v>
      </c>
      <c r="D229" t="inlineStr">
        <is>
          <t>ÖREBRO LÄN</t>
        </is>
      </c>
      <c r="E229" t="inlineStr">
        <is>
          <t>ÖREBRO</t>
        </is>
      </c>
      <c r="F229" t="inlineStr">
        <is>
          <t>Sveaskog</t>
        </is>
      </c>
      <c r="G229" t="n">
        <v>0.6</v>
      </c>
      <c r="H229" t="n">
        <v>1</v>
      </c>
      <c r="I229" t="n">
        <v>0</v>
      </c>
      <c r="J229" t="n">
        <v>0</v>
      </c>
      <c r="K229" t="n">
        <v>0</v>
      </c>
      <c r="L229" t="n">
        <v>0</v>
      </c>
      <c r="M229" t="n">
        <v>0</v>
      </c>
      <c r="N229" t="n">
        <v>0</v>
      </c>
      <c r="O229" t="n">
        <v>0</v>
      </c>
      <c r="P229" t="n">
        <v>0</v>
      </c>
      <c r="Q229" t="n">
        <v>1</v>
      </c>
      <c r="R229" s="2" t="inlineStr">
        <is>
          <t>Huggorm</t>
        </is>
      </c>
      <c r="S229">
        <f>HYPERLINK("https://klasma.github.io/Logging_1880/artfynd/A 57108-2021 artfynd.xlsx", "A 57108-2021")</f>
        <v/>
      </c>
      <c r="T229">
        <f>HYPERLINK("https://klasma.github.io/Logging_1880/kartor/A 57108-2021 karta.png", "A 57108-2021")</f>
        <v/>
      </c>
      <c r="V229">
        <f>HYPERLINK("https://klasma.github.io/Logging_1880/klagomål/A 57108-2021 FSC-klagomål.docx", "A 57108-2021")</f>
        <v/>
      </c>
      <c r="W229">
        <f>HYPERLINK("https://klasma.github.io/Logging_1880/klagomålsmail/A 57108-2021 FSC-klagomål mail.docx", "A 57108-2021")</f>
        <v/>
      </c>
      <c r="X229">
        <f>HYPERLINK("https://klasma.github.io/Logging_1880/tillsyn/A 57108-2021 tillsynsbegäran.docx", "A 57108-2021")</f>
        <v/>
      </c>
      <c r="Y229">
        <f>HYPERLINK("https://klasma.github.io/Logging_1880/tillsynsmail/A 57108-2021 tillsynsbegäran mail.docx", "A 57108-2021")</f>
        <v/>
      </c>
    </row>
    <row r="230" ht="15" customHeight="1">
      <c r="A230" t="inlineStr">
        <is>
          <t>A 57809-2021</t>
        </is>
      </c>
      <c r="B230" s="1" t="n">
        <v>44484</v>
      </c>
      <c r="C230" s="1" t="n">
        <v>45222</v>
      </c>
      <c r="D230" t="inlineStr">
        <is>
          <t>ÖREBRO LÄN</t>
        </is>
      </c>
      <c r="E230" t="inlineStr">
        <is>
          <t>LINDESBERG</t>
        </is>
      </c>
      <c r="G230" t="n">
        <v>2</v>
      </c>
      <c r="H230" t="n">
        <v>0</v>
      </c>
      <c r="I230" t="n">
        <v>1</v>
      </c>
      <c r="J230" t="n">
        <v>0</v>
      </c>
      <c r="K230" t="n">
        <v>0</v>
      </c>
      <c r="L230" t="n">
        <v>0</v>
      </c>
      <c r="M230" t="n">
        <v>0</v>
      </c>
      <c r="N230" t="n">
        <v>0</v>
      </c>
      <c r="O230" t="n">
        <v>0</v>
      </c>
      <c r="P230" t="n">
        <v>0</v>
      </c>
      <c r="Q230" t="n">
        <v>1</v>
      </c>
      <c r="R230" s="2" t="inlineStr">
        <is>
          <t>Västlig hakmossa</t>
        </is>
      </c>
      <c r="S230">
        <f>HYPERLINK("https://klasma.github.io/Logging_1885/artfynd/A 57809-2021 artfynd.xlsx", "A 57809-2021")</f>
        <v/>
      </c>
      <c r="T230">
        <f>HYPERLINK("https://klasma.github.io/Logging_1885/kartor/A 57809-2021 karta.png", "A 57809-2021")</f>
        <v/>
      </c>
      <c r="V230">
        <f>HYPERLINK("https://klasma.github.io/Logging_1885/klagomål/A 57809-2021 FSC-klagomål.docx", "A 57809-2021")</f>
        <v/>
      </c>
      <c r="W230">
        <f>HYPERLINK("https://klasma.github.io/Logging_1885/klagomålsmail/A 57809-2021 FSC-klagomål mail.docx", "A 57809-2021")</f>
        <v/>
      </c>
      <c r="X230">
        <f>HYPERLINK("https://klasma.github.io/Logging_1885/tillsyn/A 57809-2021 tillsynsbegäran.docx", "A 57809-2021")</f>
        <v/>
      </c>
      <c r="Y230">
        <f>HYPERLINK("https://klasma.github.io/Logging_1885/tillsynsmail/A 57809-2021 tillsynsbegäran mail.docx", "A 57809-2021")</f>
        <v/>
      </c>
    </row>
    <row r="231" ht="15" customHeight="1">
      <c r="A231" t="inlineStr">
        <is>
          <t>A 58132-2021</t>
        </is>
      </c>
      <c r="B231" s="1" t="n">
        <v>44487</v>
      </c>
      <c r="C231" s="1" t="n">
        <v>45222</v>
      </c>
      <c r="D231" t="inlineStr">
        <is>
          <t>ÖREBRO LÄN</t>
        </is>
      </c>
      <c r="E231" t="inlineStr">
        <is>
          <t>DEGERFORS</t>
        </is>
      </c>
      <c r="F231" t="inlineStr">
        <is>
          <t>Sveaskog</t>
        </is>
      </c>
      <c r="G231" t="n">
        <v>1.2</v>
      </c>
      <c r="H231" t="n">
        <v>1</v>
      </c>
      <c r="I231" t="n">
        <v>0</v>
      </c>
      <c r="J231" t="n">
        <v>0</v>
      </c>
      <c r="K231" t="n">
        <v>0</v>
      </c>
      <c r="L231" t="n">
        <v>0</v>
      </c>
      <c r="M231" t="n">
        <v>0</v>
      </c>
      <c r="N231" t="n">
        <v>0</v>
      </c>
      <c r="O231" t="n">
        <v>0</v>
      </c>
      <c r="P231" t="n">
        <v>0</v>
      </c>
      <c r="Q231" t="n">
        <v>1</v>
      </c>
      <c r="R231" s="2" t="inlineStr">
        <is>
          <t>Hårklomossa</t>
        </is>
      </c>
      <c r="S231">
        <f>HYPERLINK("https://klasma.github.io/Logging_1862/artfynd/A 58132-2021 artfynd.xlsx", "A 58132-2021")</f>
        <v/>
      </c>
      <c r="T231">
        <f>HYPERLINK("https://klasma.github.io/Logging_1862/kartor/A 58132-2021 karta.png", "A 58132-2021")</f>
        <v/>
      </c>
      <c r="V231">
        <f>HYPERLINK("https://klasma.github.io/Logging_1862/klagomål/A 58132-2021 FSC-klagomål.docx", "A 58132-2021")</f>
        <v/>
      </c>
      <c r="W231">
        <f>HYPERLINK("https://klasma.github.io/Logging_1862/klagomålsmail/A 58132-2021 FSC-klagomål mail.docx", "A 58132-2021")</f>
        <v/>
      </c>
      <c r="X231">
        <f>HYPERLINK("https://klasma.github.io/Logging_1862/tillsyn/A 58132-2021 tillsynsbegäran.docx", "A 58132-2021")</f>
        <v/>
      </c>
      <c r="Y231">
        <f>HYPERLINK("https://klasma.github.io/Logging_1862/tillsynsmail/A 58132-2021 tillsynsbegäran mail.docx", "A 58132-2021")</f>
        <v/>
      </c>
    </row>
    <row r="232" ht="15" customHeight="1">
      <c r="A232" t="inlineStr">
        <is>
          <t>A 64874-2021</t>
        </is>
      </c>
      <c r="B232" s="1" t="n">
        <v>44512</v>
      </c>
      <c r="C232" s="1" t="n">
        <v>45222</v>
      </c>
      <c r="D232" t="inlineStr">
        <is>
          <t>ÖREBRO LÄN</t>
        </is>
      </c>
      <c r="E232" t="inlineStr">
        <is>
          <t>LINDESBERG</t>
        </is>
      </c>
      <c r="G232" t="n">
        <v>5.4</v>
      </c>
      <c r="H232" t="n">
        <v>1</v>
      </c>
      <c r="I232" t="n">
        <v>0</v>
      </c>
      <c r="J232" t="n">
        <v>0</v>
      </c>
      <c r="K232" t="n">
        <v>1</v>
      </c>
      <c r="L232" t="n">
        <v>0</v>
      </c>
      <c r="M232" t="n">
        <v>0</v>
      </c>
      <c r="N232" t="n">
        <v>0</v>
      </c>
      <c r="O232" t="n">
        <v>1</v>
      </c>
      <c r="P232" t="n">
        <v>1</v>
      </c>
      <c r="Q232" t="n">
        <v>1</v>
      </c>
      <c r="R232" s="2" t="inlineStr">
        <is>
          <t>Bombmurkla</t>
        </is>
      </c>
      <c r="S232">
        <f>HYPERLINK("https://klasma.github.io/Logging_1885/artfynd/A 64874-2021 artfynd.xlsx", "A 64874-2021")</f>
        <v/>
      </c>
      <c r="T232">
        <f>HYPERLINK("https://klasma.github.io/Logging_1885/kartor/A 64874-2021 karta.png", "A 64874-2021")</f>
        <v/>
      </c>
      <c r="V232">
        <f>HYPERLINK("https://klasma.github.io/Logging_1885/klagomål/A 64874-2021 FSC-klagomål.docx", "A 64874-2021")</f>
        <v/>
      </c>
      <c r="W232">
        <f>HYPERLINK("https://klasma.github.io/Logging_1885/klagomålsmail/A 64874-2021 FSC-klagomål mail.docx", "A 64874-2021")</f>
        <v/>
      </c>
      <c r="X232">
        <f>HYPERLINK("https://klasma.github.io/Logging_1885/tillsyn/A 64874-2021 tillsynsbegäran.docx", "A 64874-2021")</f>
        <v/>
      </c>
      <c r="Y232">
        <f>HYPERLINK("https://klasma.github.io/Logging_1885/tillsynsmail/A 64874-2021 tillsynsbegäran mail.docx", "A 64874-2021")</f>
        <v/>
      </c>
    </row>
    <row r="233" ht="15" customHeight="1">
      <c r="A233" t="inlineStr">
        <is>
          <t>A 65215-2021</t>
        </is>
      </c>
      <c r="B233" s="1" t="n">
        <v>44515</v>
      </c>
      <c r="C233" s="1" t="n">
        <v>45222</v>
      </c>
      <c r="D233" t="inlineStr">
        <is>
          <t>ÖREBRO LÄN</t>
        </is>
      </c>
      <c r="E233" t="inlineStr">
        <is>
          <t>LJUSNARSBERG</t>
        </is>
      </c>
      <c r="F233" t="inlineStr">
        <is>
          <t>Bergvik skog väst AB</t>
        </is>
      </c>
      <c r="G233" t="n">
        <v>2.2</v>
      </c>
      <c r="H233" t="n">
        <v>0</v>
      </c>
      <c r="I233" t="n">
        <v>1</v>
      </c>
      <c r="J233" t="n">
        <v>0</v>
      </c>
      <c r="K233" t="n">
        <v>0</v>
      </c>
      <c r="L233" t="n">
        <v>0</v>
      </c>
      <c r="M233" t="n">
        <v>0</v>
      </c>
      <c r="N233" t="n">
        <v>0</v>
      </c>
      <c r="O233" t="n">
        <v>0</v>
      </c>
      <c r="P233" t="n">
        <v>0</v>
      </c>
      <c r="Q233" t="n">
        <v>1</v>
      </c>
      <c r="R233" s="2" t="inlineStr">
        <is>
          <t>Mindre märgborre</t>
        </is>
      </c>
      <c r="S233">
        <f>HYPERLINK("https://klasma.github.io/Logging_1864/artfynd/A 65215-2021 artfynd.xlsx", "A 65215-2021")</f>
        <v/>
      </c>
      <c r="T233">
        <f>HYPERLINK("https://klasma.github.io/Logging_1864/kartor/A 65215-2021 karta.png", "A 65215-2021")</f>
        <v/>
      </c>
      <c r="V233">
        <f>HYPERLINK("https://klasma.github.io/Logging_1864/klagomål/A 65215-2021 FSC-klagomål.docx", "A 65215-2021")</f>
        <v/>
      </c>
      <c r="W233">
        <f>HYPERLINK("https://klasma.github.io/Logging_1864/klagomålsmail/A 65215-2021 FSC-klagomål mail.docx", "A 65215-2021")</f>
        <v/>
      </c>
      <c r="X233">
        <f>HYPERLINK("https://klasma.github.io/Logging_1864/tillsyn/A 65215-2021 tillsynsbegäran.docx", "A 65215-2021")</f>
        <v/>
      </c>
      <c r="Y233">
        <f>HYPERLINK("https://klasma.github.io/Logging_1864/tillsynsmail/A 65215-2021 tillsynsbegäran mail.docx", "A 65215-2021")</f>
        <v/>
      </c>
    </row>
    <row r="234" ht="15" customHeight="1">
      <c r="A234" t="inlineStr">
        <is>
          <t>A 66339-2021</t>
        </is>
      </c>
      <c r="B234" s="1" t="n">
        <v>44518</v>
      </c>
      <c r="C234" s="1" t="n">
        <v>45222</v>
      </c>
      <c r="D234" t="inlineStr">
        <is>
          <t>ÖREBRO LÄN</t>
        </is>
      </c>
      <c r="E234" t="inlineStr">
        <is>
          <t>ASKERSUND</t>
        </is>
      </c>
      <c r="G234" t="n">
        <v>2.5</v>
      </c>
      <c r="H234" t="n">
        <v>0</v>
      </c>
      <c r="I234" t="n">
        <v>0</v>
      </c>
      <c r="J234" t="n">
        <v>1</v>
      </c>
      <c r="K234" t="n">
        <v>0</v>
      </c>
      <c r="L234" t="n">
        <v>0</v>
      </c>
      <c r="M234" t="n">
        <v>0</v>
      </c>
      <c r="N234" t="n">
        <v>0</v>
      </c>
      <c r="O234" t="n">
        <v>1</v>
      </c>
      <c r="P234" t="n">
        <v>0</v>
      </c>
      <c r="Q234" t="n">
        <v>1</v>
      </c>
      <c r="R234" s="2" t="inlineStr">
        <is>
          <t>Gransotdyna</t>
        </is>
      </c>
      <c r="S234">
        <f>HYPERLINK("https://klasma.github.io/Logging_1882/artfynd/A 66339-2021 artfynd.xlsx", "A 66339-2021")</f>
        <v/>
      </c>
      <c r="T234">
        <f>HYPERLINK("https://klasma.github.io/Logging_1882/kartor/A 66339-2021 karta.png", "A 66339-2021")</f>
        <v/>
      </c>
      <c r="V234">
        <f>HYPERLINK("https://klasma.github.io/Logging_1882/klagomål/A 66339-2021 FSC-klagomål.docx", "A 66339-2021")</f>
        <v/>
      </c>
      <c r="W234">
        <f>HYPERLINK("https://klasma.github.io/Logging_1882/klagomålsmail/A 66339-2021 FSC-klagomål mail.docx", "A 66339-2021")</f>
        <v/>
      </c>
      <c r="X234">
        <f>HYPERLINK("https://klasma.github.io/Logging_1882/tillsyn/A 66339-2021 tillsynsbegäran.docx", "A 66339-2021")</f>
        <v/>
      </c>
      <c r="Y234">
        <f>HYPERLINK("https://klasma.github.io/Logging_1882/tillsynsmail/A 66339-2021 tillsynsbegäran mail.docx", "A 66339-2021")</f>
        <v/>
      </c>
    </row>
    <row r="235" ht="15" customHeight="1">
      <c r="A235" t="inlineStr">
        <is>
          <t>A 67013-2021</t>
        </is>
      </c>
      <c r="B235" s="1" t="n">
        <v>44522</v>
      </c>
      <c r="C235" s="1" t="n">
        <v>45222</v>
      </c>
      <c r="D235" t="inlineStr">
        <is>
          <t>ÖREBRO LÄN</t>
        </is>
      </c>
      <c r="E235" t="inlineStr">
        <is>
          <t>LINDESBERG</t>
        </is>
      </c>
      <c r="G235" t="n">
        <v>0.5</v>
      </c>
      <c r="H235" t="n">
        <v>0</v>
      </c>
      <c r="I235" t="n">
        <v>0</v>
      </c>
      <c r="J235" t="n">
        <v>1</v>
      </c>
      <c r="K235" t="n">
        <v>0</v>
      </c>
      <c r="L235" t="n">
        <v>0</v>
      </c>
      <c r="M235" t="n">
        <v>0</v>
      </c>
      <c r="N235" t="n">
        <v>0</v>
      </c>
      <c r="O235" t="n">
        <v>1</v>
      </c>
      <c r="P235" t="n">
        <v>0</v>
      </c>
      <c r="Q235" t="n">
        <v>1</v>
      </c>
      <c r="R235" s="2" t="inlineStr">
        <is>
          <t>Skogsklocka</t>
        </is>
      </c>
      <c r="S235">
        <f>HYPERLINK("https://klasma.github.io/Logging_1885/artfynd/A 67013-2021 artfynd.xlsx", "A 67013-2021")</f>
        <v/>
      </c>
      <c r="T235">
        <f>HYPERLINK("https://klasma.github.io/Logging_1885/kartor/A 67013-2021 karta.png", "A 67013-2021")</f>
        <v/>
      </c>
      <c r="V235">
        <f>HYPERLINK("https://klasma.github.io/Logging_1885/klagomål/A 67013-2021 FSC-klagomål.docx", "A 67013-2021")</f>
        <v/>
      </c>
      <c r="W235">
        <f>HYPERLINK("https://klasma.github.io/Logging_1885/klagomålsmail/A 67013-2021 FSC-klagomål mail.docx", "A 67013-2021")</f>
        <v/>
      </c>
      <c r="X235">
        <f>HYPERLINK("https://klasma.github.io/Logging_1885/tillsyn/A 67013-2021 tillsynsbegäran.docx", "A 67013-2021")</f>
        <v/>
      </c>
      <c r="Y235">
        <f>HYPERLINK("https://klasma.github.io/Logging_1885/tillsynsmail/A 67013-2021 tillsynsbegäran mail.docx", "A 67013-2021")</f>
        <v/>
      </c>
    </row>
    <row r="236" ht="15" customHeight="1">
      <c r="A236" t="inlineStr">
        <is>
          <t>A 70466-2021</t>
        </is>
      </c>
      <c r="B236" s="1" t="n">
        <v>44536</v>
      </c>
      <c r="C236" s="1" t="n">
        <v>45222</v>
      </c>
      <c r="D236" t="inlineStr">
        <is>
          <t>ÖREBRO LÄN</t>
        </is>
      </c>
      <c r="E236" t="inlineStr">
        <is>
          <t>LINDESBERG</t>
        </is>
      </c>
      <c r="G236" t="n">
        <v>4.4</v>
      </c>
      <c r="H236" t="n">
        <v>1</v>
      </c>
      <c r="I236" t="n">
        <v>0</v>
      </c>
      <c r="J236" t="n">
        <v>0</v>
      </c>
      <c r="K236" t="n">
        <v>1</v>
      </c>
      <c r="L236" t="n">
        <v>0</v>
      </c>
      <c r="M236" t="n">
        <v>0</v>
      </c>
      <c r="N236" t="n">
        <v>0</v>
      </c>
      <c r="O236" t="n">
        <v>1</v>
      </c>
      <c r="P236" t="n">
        <v>1</v>
      </c>
      <c r="Q236" t="n">
        <v>1</v>
      </c>
      <c r="R236" s="2" t="inlineStr">
        <is>
          <t>Knärot</t>
        </is>
      </c>
      <c r="S236">
        <f>HYPERLINK("https://klasma.github.io/Logging_1885/artfynd/A 70466-2021 artfynd.xlsx", "A 70466-2021")</f>
        <v/>
      </c>
      <c r="T236">
        <f>HYPERLINK("https://klasma.github.io/Logging_1885/kartor/A 70466-2021 karta.png", "A 70466-2021")</f>
        <v/>
      </c>
      <c r="U236">
        <f>HYPERLINK("https://klasma.github.io/Logging_1885/knärot/A 70466-2021 karta knärot.png", "A 70466-2021")</f>
        <v/>
      </c>
      <c r="V236">
        <f>HYPERLINK("https://klasma.github.io/Logging_1885/klagomål/A 70466-2021 FSC-klagomål.docx", "A 70466-2021")</f>
        <v/>
      </c>
      <c r="W236">
        <f>HYPERLINK("https://klasma.github.io/Logging_1885/klagomålsmail/A 70466-2021 FSC-klagomål mail.docx", "A 70466-2021")</f>
        <v/>
      </c>
      <c r="X236">
        <f>HYPERLINK("https://klasma.github.io/Logging_1885/tillsyn/A 70466-2021 tillsynsbegäran.docx", "A 70466-2021")</f>
        <v/>
      </c>
      <c r="Y236">
        <f>HYPERLINK("https://klasma.github.io/Logging_1885/tillsynsmail/A 70466-2021 tillsynsbegäran mail.docx", "A 70466-2021")</f>
        <v/>
      </c>
    </row>
    <row r="237" ht="15" customHeight="1">
      <c r="A237" t="inlineStr">
        <is>
          <t>A 3945-2022</t>
        </is>
      </c>
      <c r="B237" s="1" t="n">
        <v>44587</v>
      </c>
      <c r="C237" s="1" t="n">
        <v>45222</v>
      </c>
      <c r="D237" t="inlineStr">
        <is>
          <t>ÖREBRO LÄN</t>
        </is>
      </c>
      <c r="E237" t="inlineStr">
        <is>
          <t>ASKERSUND</t>
        </is>
      </c>
      <c r="G237" t="n">
        <v>1.5</v>
      </c>
      <c r="H237" t="n">
        <v>1</v>
      </c>
      <c r="I237" t="n">
        <v>0</v>
      </c>
      <c r="J237" t="n">
        <v>0</v>
      </c>
      <c r="K237" t="n">
        <v>0</v>
      </c>
      <c r="L237" t="n">
        <v>0</v>
      </c>
      <c r="M237" t="n">
        <v>0</v>
      </c>
      <c r="N237" t="n">
        <v>0</v>
      </c>
      <c r="O237" t="n">
        <v>0</v>
      </c>
      <c r="P237" t="n">
        <v>0</v>
      </c>
      <c r="Q237" t="n">
        <v>1</v>
      </c>
      <c r="R237" s="2" t="inlineStr">
        <is>
          <t>Revlummer</t>
        </is>
      </c>
      <c r="S237">
        <f>HYPERLINK("https://klasma.github.io/Logging_1882/artfynd/A 3945-2022 artfynd.xlsx", "A 3945-2022")</f>
        <v/>
      </c>
      <c r="T237">
        <f>HYPERLINK("https://klasma.github.io/Logging_1882/kartor/A 3945-2022 karta.png", "A 3945-2022")</f>
        <v/>
      </c>
      <c r="V237">
        <f>HYPERLINK("https://klasma.github.io/Logging_1882/klagomål/A 3945-2022 FSC-klagomål.docx", "A 3945-2022")</f>
        <v/>
      </c>
      <c r="W237">
        <f>HYPERLINK("https://klasma.github.io/Logging_1882/klagomålsmail/A 3945-2022 FSC-klagomål mail.docx", "A 3945-2022")</f>
        <v/>
      </c>
      <c r="X237">
        <f>HYPERLINK("https://klasma.github.io/Logging_1882/tillsyn/A 3945-2022 tillsynsbegäran.docx", "A 3945-2022")</f>
        <v/>
      </c>
      <c r="Y237">
        <f>HYPERLINK("https://klasma.github.io/Logging_1882/tillsynsmail/A 3945-2022 tillsynsbegäran mail.docx", "A 3945-2022")</f>
        <v/>
      </c>
    </row>
    <row r="238" ht="15" customHeight="1">
      <c r="A238" t="inlineStr">
        <is>
          <t>A 4943-2022</t>
        </is>
      </c>
      <c r="B238" s="1" t="n">
        <v>44593</v>
      </c>
      <c r="C238" s="1" t="n">
        <v>45222</v>
      </c>
      <c r="D238" t="inlineStr">
        <is>
          <t>ÖREBRO LÄN</t>
        </is>
      </c>
      <c r="E238" t="inlineStr">
        <is>
          <t>ÖREBRO</t>
        </is>
      </c>
      <c r="G238" t="n">
        <v>1.1</v>
      </c>
      <c r="H238" t="n">
        <v>0</v>
      </c>
      <c r="I238" t="n">
        <v>0</v>
      </c>
      <c r="J238" t="n">
        <v>1</v>
      </c>
      <c r="K238" t="n">
        <v>0</v>
      </c>
      <c r="L238" t="n">
        <v>0</v>
      </c>
      <c r="M238" t="n">
        <v>0</v>
      </c>
      <c r="N238" t="n">
        <v>0</v>
      </c>
      <c r="O238" t="n">
        <v>1</v>
      </c>
      <c r="P238" t="n">
        <v>0</v>
      </c>
      <c r="Q238" t="n">
        <v>1</v>
      </c>
      <c r="R238" s="2" t="inlineStr">
        <is>
          <t>Skinntagging</t>
        </is>
      </c>
      <c r="S238">
        <f>HYPERLINK("https://klasma.github.io/Logging_1880/artfynd/A 4943-2022 artfynd.xlsx", "A 4943-2022")</f>
        <v/>
      </c>
      <c r="T238">
        <f>HYPERLINK("https://klasma.github.io/Logging_1880/kartor/A 4943-2022 karta.png", "A 4943-2022")</f>
        <v/>
      </c>
      <c r="V238">
        <f>HYPERLINK("https://klasma.github.io/Logging_1880/klagomål/A 4943-2022 FSC-klagomål.docx", "A 4943-2022")</f>
        <v/>
      </c>
      <c r="W238">
        <f>HYPERLINK("https://klasma.github.io/Logging_1880/klagomålsmail/A 4943-2022 FSC-klagomål mail.docx", "A 4943-2022")</f>
        <v/>
      </c>
      <c r="X238">
        <f>HYPERLINK("https://klasma.github.io/Logging_1880/tillsyn/A 4943-2022 tillsynsbegäran.docx", "A 4943-2022")</f>
        <v/>
      </c>
      <c r="Y238">
        <f>HYPERLINK("https://klasma.github.io/Logging_1880/tillsynsmail/A 4943-2022 tillsynsbegäran mail.docx", "A 4943-2022")</f>
        <v/>
      </c>
    </row>
    <row r="239" ht="15" customHeight="1">
      <c r="A239" t="inlineStr">
        <is>
          <t>A 15075-2022</t>
        </is>
      </c>
      <c r="B239" s="1" t="n">
        <v>44657</v>
      </c>
      <c r="C239" s="1" t="n">
        <v>45222</v>
      </c>
      <c r="D239" t="inlineStr">
        <is>
          <t>ÖREBRO LÄN</t>
        </is>
      </c>
      <c r="E239" t="inlineStr">
        <is>
          <t>HALLSBERG</t>
        </is>
      </c>
      <c r="G239" t="n">
        <v>3.5</v>
      </c>
      <c r="H239" t="n">
        <v>0</v>
      </c>
      <c r="I239" t="n">
        <v>1</v>
      </c>
      <c r="J239" t="n">
        <v>0</v>
      </c>
      <c r="K239" t="n">
        <v>0</v>
      </c>
      <c r="L239" t="n">
        <v>0</v>
      </c>
      <c r="M239" t="n">
        <v>0</v>
      </c>
      <c r="N239" t="n">
        <v>0</v>
      </c>
      <c r="O239" t="n">
        <v>0</v>
      </c>
      <c r="P239" t="n">
        <v>0</v>
      </c>
      <c r="Q239" t="n">
        <v>1</v>
      </c>
      <c r="R239" s="2" t="inlineStr">
        <is>
          <t>Strutbräken</t>
        </is>
      </c>
      <c r="S239">
        <f>HYPERLINK("https://klasma.github.io/Logging_1861/artfynd/A 15075-2022 artfynd.xlsx", "A 15075-2022")</f>
        <v/>
      </c>
      <c r="T239">
        <f>HYPERLINK("https://klasma.github.io/Logging_1861/kartor/A 15075-2022 karta.png", "A 15075-2022")</f>
        <v/>
      </c>
      <c r="V239">
        <f>HYPERLINK("https://klasma.github.io/Logging_1861/klagomål/A 15075-2022 FSC-klagomål.docx", "A 15075-2022")</f>
        <v/>
      </c>
      <c r="W239">
        <f>HYPERLINK("https://klasma.github.io/Logging_1861/klagomålsmail/A 15075-2022 FSC-klagomål mail.docx", "A 15075-2022")</f>
        <v/>
      </c>
      <c r="X239">
        <f>HYPERLINK("https://klasma.github.io/Logging_1861/tillsyn/A 15075-2022 tillsynsbegäran.docx", "A 15075-2022")</f>
        <v/>
      </c>
      <c r="Y239">
        <f>HYPERLINK("https://klasma.github.io/Logging_1861/tillsynsmail/A 15075-2022 tillsynsbegäran mail.docx", "A 15075-2022")</f>
        <v/>
      </c>
    </row>
    <row r="240" ht="15" customHeight="1">
      <c r="A240" t="inlineStr">
        <is>
          <t>A 26890-2022</t>
        </is>
      </c>
      <c r="B240" s="1" t="n">
        <v>44740</v>
      </c>
      <c r="C240" s="1" t="n">
        <v>45222</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27134-2022</t>
        </is>
      </c>
      <c r="B241" s="1" t="n">
        <v>44741</v>
      </c>
      <c r="C241" s="1" t="n">
        <v>45222</v>
      </c>
      <c r="D241" t="inlineStr">
        <is>
          <t>ÖREBRO LÄN</t>
        </is>
      </c>
      <c r="E241" t="inlineStr">
        <is>
          <t>HÄLLEFORS</t>
        </is>
      </c>
      <c r="F241" t="inlineStr">
        <is>
          <t>Bergvik skog väst AB</t>
        </is>
      </c>
      <c r="G241" t="n">
        <v>8.1</v>
      </c>
      <c r="H241" t="n">
        <v>1</v>
      </c>
      <c r="I241" t="n">
        <v>0</v>
      </c>
      <c r="J241" t="n">
        <v>0</v>
      </c>
      <c r="K241" t="n">
        <v>0</v>
      </c>
      <c r="L241" t="n">
        <v>0</v>
      </c>
      <c r="M241" t="n">
        <v>0</v>
      </c>
      <c r="N241" t="n">
        <v>0</v>
      </c>
      <c r="O241" t="n">
        <v>0</v>
      </c>
      <c r="P241" t="n">
        <v>0</v>
      </c>
      <c r="Q241" t="n">
        <v>1</v>
      </c>
      <c r="R241" s="2" t="inlineStr">
        <is>
          <t>Nattviol</t>
        </is>
      </c>
      <c r="S241">
        <f>HYPERLINK("https://klasma.github.io/Logging_1863/artfynd/A 27134-2022 artfynd.xlsx", "A 27134-2022")</f>
        <v/>
      </c>
      <c r="T241">
        <f>HYPERLINK("https://klasma.github.io/Logging_1863/kartor/A 27134-2022 karta.png", "A 27134-2022")</f>
        <v/>
      </c>
      <c r="V241">
        <f>HYPERLINK("https://klasma.github.io/Logging_1863/klagomål/A 27134-2022 FSC-klagomål.docx", "A 27134-2022")</f>
        <v/>
      </c>
      <c r="W241">
        <f>HYPERLINK("https://klasma.github.io/Logging_1863/klagomålsmail/A 27134-2022 FSC-klagomål mail.docx", "A 27134-2022")</f>
        <v/>
      </c>
      <c r="X241">
        <f>HYPERLINK("https://klasma.github.io/Logging_1863/tillsyn/A 27134-2022 tillsynsbegäran.docx", "A 27134-2022")</f>
        <v/>
      </c>
      <c r="Y241">
        <f>HYPERLINK("https://klasma.github.io/Logging_1863/tillsynsmail/A 27134-2022 tillsynsbegäran mail.docx", "A 27134-2022")</f>
        <v/>
      </c>
    </row>
    <row r="242" ht="15" customHeight="1">
      <c r="A242" t="inlineStr">
        <is>
          <t>A 29704-2022</t>
        </is>
      </c>
      <c r="B242" s="1" t="n">
        <v>44755</v>
      </c>
      <c r="C242" s="1" t="n">
        <v>45222</v>
      </c>
      <c r="D242" t="inlineStr">
        <is>
          <t>ÖREBRO LÄN</t>
        </is>
      </c>
      <c r="E242" t="inlineStr">
        <is>
          <t>ÖREBRO</t>
        </is>
      </c>
      <c r="F242" t="inlineStr">
        <is>
          <t>Kommuner</t>
        </is>
      </c>
      <c r="G242" t="n">
        <v>1.1</v>
      </c>
      <c r="H242" t="n">
        <v>0</v>
      </c>
      <c r="I242" t="n">
        <v>0</v>
      </c>
      <c r="J242" t="n">
        <v>1</v>
      </c>
      <c r="K242" t="n">
        <v>0</v>
      </c>
      <c r="L242" t="n">
        <v>0</v>
      </c>
      <c r="M242" t="n">
        <v>0</v>
      </c>
      <c r="N242" t="n">
        <v>0</v>
      </c>
      <c r="O242" t="n">
        <v>1</v>
      </c>
      <c r="P242" t="n">
        <v>0</v>
      </c>
      <c r="Q242" t="n">
        <v>1</v>
      </c>
      <c r="R242" s="2" t="inlineStr">
        <is>
          <t>Motaggsvamp</t>
        </is>
      </c>
      <c r="S242">
        <f>HYPERLINK("https://klasma.github.io/Logging_1880/artfynd/A 29704-2022 artfynd.xlsx", "A 29704-2022")</f>
        <v/>
      </c>
      <c r="T242">
        <f>HYPERLINK("https://klasma.github.io/Logging_1880/kartor/A 29704-2022 karta.png", "A 29704-2022")</f>
        <v/>
      </c>
      <c r="V242">
        <f>HYPERLINK("https://klasma.github.io/Logging_1880/klagomål/A 29704-2022 FSC-klagomål.docx", "A 29704-2022")</f>
        <v/>
      </c>
      <c r="W242">
        <f>HYPERLINK("https://klasma.github.io/Logging_1880/klagomålsmail/A 29704-2022 FSC-klagomål mail.docx", "A 29704-2022")</f>
        <v/>
      </c>
      <c r="X242">
        <f>HYPERLINK("https://klasma.github.io/Logging_1880/tillsyn/A 29704-2022 tillsynsbegäran.docx", "A 29704-2022")</f>
        <v/>
      </c>
      <c r="Y242">
        <f>HYPERLINK("https://klasma.github.io/Logging_1880/tillsynsmail/A 29704-2022 tillsynsbegäran mail.docx", "A 29704-2022")</f>
        <v/>
      </c>
    </row>
    <row r="243" ht="15" customHeight="1">
      <c r="A243" t="inlineStr">
        <is>
          <t>A 30189-2022</t>
        </is>
      </c>
      <c r="B243" s="1" t="n">
        <v>44757</v>
      </c>
      <c r="C243" s="1" t="n">
        <v>45222</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32269-2022</t>
        </is>
      </c>
      <c r="B244" s="1" t="n">
        <v>44781</v>
      </c>
      <c r="C244" s="1" t="n">
        <v>45222</v>
      </c>
      <c r="D244" t="inlineStr">
        <is>
          <t>ÖREBRO LÄN</t>
        </is>
      </c>
      <c r="E244" t="inlineStr">
        <is>
          <t>KARLSKOGA</t>
        </is>
      </c>
      <c r="F244" t="inlineStr">
        <is>
          <t>Kyrkan</t>
        </is>
      </c>
      <c r="G244" t="n">
        <v>6.2</v>
      </c>
      <c r="H244" t="n">
        <v>1</v>
      </c>
      <c r="I244" t="n">
        <v>0</v>
      </c>
      <c r="J244" t="n">
        <v>1</v>
      </c>
      <c r="K244" t="n">
        <v>0</v>
      </c>
      <c r="L244" t="n">
        <v>0</v>
      </c>
      <c r="M244" t="n">
        <v>0</v>
      </c>
      <c r="N244" t="n">
        <v>0</v>
      </c>
      <c r="O244" t="n">
        <v>1</v>
      </c>
      <c r="P244" t="n">
        <v>0</v>
      </c>
      <c r="Q244" t="n">
        <v>1</v>
      </c>
      <c r="R244" s="2" t="inlineStr">
        <is>
          <t>Nordfladdermus</t>
        </is>
      </c>
      <c r="S244">
        <f>HYPERLINK("https://klasma.github.io/Logging_1883/artfynd/A 32269-2022 artfynd.xlsx", "A 32269-2022")</f>
        <v/>
      </c>
      <c r="T244">
        <f>HYPERLINK("https://klasma.github.io/Logging_1883/kartor/A 32269-2022 karta.png", "A 32269-2022")</f>
        <v/>
      </c>
      <c r="V244">
        <f>HYPERLINK("https://klasma.github.io/Logging_1883/klagomål/A 32269-2022 FSC-klagomål.docx", "A 32269-2022")</f>
        <v/>
      </c>
      <c r="W244">
        <f>HYPERLINK("https://klasma.github.io/Logging_1883/klagomålsmail/A 32269-2022 FSC-klagomål mail.docx", "A 32269-2022")</f>
        <v/>
      </c>
      <c r="X244">
        <f>HYPERLINK("https://klasma.github.io/Logging_1883/tillsyn/A 32269-2022 tillsynsbegäran.docx", "A 32269-2022")</f>
        <v/>
      </c>
      <c r="Y244">
        <f>HYPERLINK("https://klasma.github.io/Logging_1883/tillsynsmail/A 32269-2022 tillsynsbegäran mail.docx", "A 32269-2022")</f>
        <v/>
      </c>
    </row>
    <row r="245" ht="15" customHeight="1">
      <c r="A245" t="inlineStr">
        <is>
          <t>A 37547-2022</t>
        </is>
      </c>
      <c r="B245" s="1" t="n">
        <v>44809</v>
      </c>
      <c r="C245" s="1" t="n">
        <v>45222</v>
      </c>
      <c r="D245" t="inlineStr">
        <is>
          <t>ÖREBRO LÄN</t>
        </is>
      </c>
      <c r="E245" t="inlineStr">
        <is>
          <t>LJUSNARSBERG</t>
        </is>
      </c>
      <c r="G245" t="n">
        <v>1.9</v>
      </c>
      <c r="H245" t="n">
        <v>0</v>
      </c>
      <c r="I245" t="n">
        <v>1</v>
      </c>
      <c r="J245" t="n">
        <v>0</v>
      </c>
      <c r="K245" t="n">
        <v>0</v>
      </c>
      <c r="L245" t="n">
        <v>0</v>
      </c>
      <c r="M245" t="n">
        <v>0</v>
      </c>
      <c r="N245" t="n">
        <v>0</v>
      </c>
      <c r="O245" t="n">
        <v>0</v>
      </c>
      <c r="P245" t="n">
        <v>0</v>
      </c>
      <c r="Q245" t="n">
        <v>1</v>
      </c>
      <c r="R245" s="2" t="inlineStr">
        <is>
          <t>Fjällig taggsvamp s.str.</t>
        </is>
      </c>
      <c r="S245">
        <f>HYPERLINK("https://klasma.github.io/Logging_1864/artfynd/A 37547-2022 artfynd.xlsx", "A 37547-2022")</f>
        <v/>
      </c>
      <c r="T245">
        <f>HYPERLINK("https://klasma.github.io/Logging_1864/kartor/A 37547-2022 karta.png", "A 37547-2022")</f>
        <v/>
      </c>
      <c r="V245">
        <f>HYPERLINK("https://klasma.github.io/Logging_1864/klagomål/A 37547-2022 FSC-klagomål.docx", "A 37547-2022")</f>
        <v/>
      </c>
      <c r="W245">
        <f>HYPERLINK("https://klasma.github.io/Logging_1864/klagomålsmail/A 37547-2022 FSC-klagomål mail.docx", "A 37547-2022")</f>
        <v/>
      </c>
      <c r="X245">
        <f>HYPERLINK("https://klasma.github.io/Logging_1864/tillsyn/A 37547-2022 tillsynsbegäran.docx", "A 37547-2022")</f>
        <v/>
      </c>
      <c r="Y245">
        <f>HYPERLINK("https://klasma.github.io/Logging_1864/tillsynsmail/A 37547-2022 tillsynsbegäran mail.docx", "A 37547-2022")</f>
        <v/>
      </c>
    </row>
    <row r="246" ht="15" customHeight="1">
      <c r="A246" t="inlineStr">
        <is>
          <t>A 38323-2022</t>
        </is>
      </c>
      <c r="B246" s="1" t="n">
        <v>44812</v>
      </c>
      <c r="C246" s="1" t="n">
        <v>45222</v>
      </c>
      <c r="D246" t="inlineStr">
        <is>
          <t>ÖREBRO LÄN</t>
        </is>
      </c>
      <c r="E246" t="inlineStr">
        <is>
          <t>LEKEBERG</t>
        </is>
      </c>
      <c r="F246" t="inlineStr">
        <is>
          <t>Sveaskog</t>
        </is>
      </c>
      <c r="G246" t="n">
        <v>6.2</v>
      </c>
      <c r="H246" t="n">
        <v>0</v>
      </c>
      <c r="I246" t="n">
        <v>1</v>
      </c>
      <c r="J246" t="n">
        <v>0</v>
      </c>
      <c r="K246" t="n">
        <v>0</v>
      </c>
      <c r="L246" t="n">
        <v>0</v>
      </c>
      <c r="M246" t="n">
        <v>0</v>
      </c>
      <c r="N246" t="n">
        <v>0</v>
      </c>
      <c r="O246" t="n">
        <v>0</v>
      </c>
      <c r="P246" t="n">
        <v>0</v>
      </c>
      <c r="Q246" t="n">
        <v>1</v>
      </c>
      <c r="R246" s="2" t="inlineStr">
        <is>
          <t>Svart trolldruva</t>
        </is>
      </c>
      <c r="S246">
        <f>HYPERLINK("https://klasma.github.io/Logging_1814/artfynd/A 38323-2022 artfynd.xlsx", "A 38323-2022")</f>
        <v/>
      </c>
      <c r="T246">
        <f>HYPERLINK("https://klasma.github.io/Logging_1814/kartor/A 38323-2022 karta.png", "A 38323-2022")</f>
        <v/>
      </c>
      <c r="V246">
        <f>HYPERLINK("https://klasma.github.io/Logging_1814/klagomål/A 38323-2022 FSC-klagomål.docx", "A 38323-2022")</f>
        <v/>
      </c>
      <c r="W246">
        <f>HYPERLINK("https://klasma.github.io/Logging_1814/klagomålsmail/A 38323-2022 FSC-klagomål mail.docx", "A 38323-2022")</f>
        <v/>
      </c>
      <c r="X246">
        <f>HYPERLINK("https://klasma.github.io/Logging_1814/tillsyn/A 38323-2022 tillsynsbegäran.docx", "A 38323-2022")</f>
        <v/>
      </c>
      <c r="Y246">
        <f>HYPERLINK("https://klasma.github.io/Logging_1814/tillsynsmail/A 38323-2022 tillsynsbegäran mail.docx", "A 38323-2022")</f>
        <v/>
      </c>
    </row>
    <row r="247" ht="15" customHeight="1">
      <c r="A247" t="inlineStr">
        <is>
          <t>A 39249-2022</t>
        </is>
      </c>
      <c r="B247" s="1" t="n">
        <v>44816</v>
      </c>
      <c r="C247" s="1" t="n">
        <v>45222</v>
      </c>
      <c r="D247" t="inlineStr">
        <is>
          <t>ÖREBRO LÄN</t>
        </is>
      </c>
      <c r="E247" t="inlineStr">
        <is>
          <t>HALLSBERG</t>
        </is>
      </c>
      <c r="G247" t="n">
        <v>1.6</v>
      </c>
      <c r="H247" t="n">
        <v>0</v>
      </c>
      <c r="I247" t="n">
        <v>1</v>
      </c>
      <c r="J247" t="n">
        <v>0</v>
      </c>
      <c r="K247" t="n">
        <v>0</v>
      </c>
      <c r="L247" t="n">
        <v>0</v>
      </c>
      <c r="M247" t="n">
        <v>0</v>
      </c>
      <c r="N247" t="n">
        <v>0</v>
      </c>
      <c r="O247" t="n">
        <v>0</v>
      </c>
      <c r="P247" t="n">
        <v>0</v>
      </c>
      <c r="Q247" t="n">
        <v>1</v>
      </c>
      <c r="R247" s="2" t="inlineStr">
        <is>
          <t>Björksplintborre</t>
        </is>
      </c>
      <c r="S247">
        <f>HYPERLINK("https://klasma.github.io/Logging_1861/artfynd/A 39249-2022 artfynd.xlsx", "A 39249-2022")</f>
        <v/>
      </c>
      <c r="T247">
        <f>HYPERLINK("https://klasma.github.io/Logging_1861/kartor/A 39249-2022 karta.png", "A 39249-2022")</f>
        <v/>
      </c>
      <c r="V247">
        <f>HYPERLINK("https://klasma.github.io/Logging_1861/klagomål/A 39249-2022 FSC-klagomål.docx", "A 39249-2022")</f>
        <v/>
      </c>
      <c r="W247">
        <f>HYPERLINK("https://klasma.github.io/Logging_1861/klagomålsmail/A 39249-2022 FSC-klagomål mail.docx", "A 39249-2022")</f>
        <v/>
      </c>
      <c r="X247">
        <f>HYPERLINK("https://klasma.github.io/Logging_1861/tillsyn/A 39249-2022 tillsynsbegäran.docx", "A 39249-2022")</f>
        <v/>
      </c>
      <c r="Y247">
        <f>HYPERLINK("https://klasma.github.io/Logging_1861/tillsynsmail/A 39249-2022 tillsynsbegäran mail.docx", "A 39249-2022")</f>
        <v/>
      </c>
    </row>
    <row r="248" ht="15" customHeight="1">
      <c r="A248" t="inlineStr">
        <is>
          <t>A 39540-2022</t>
        </is>
      </c>
      <c r="B248" s="1" t="n">
        <v>44818</v>
      </c>
      <c r="C248" s="1" t="n">
        <v>45222</v>
      </c>
      <c r="D248" t="inlineStr">
        <is>
          <t>ÖREBRO LÄN</t>
        </is>
      </c>
      <c r="E248" t="inlineStr">
        <is>
          <t>HÄLLEFORS</t>
        </is>
      </c>
      <c r="G248" t="n">
        <v>0.5</v>
      </c>
      <c r="H248" t="n">
        <v>0</v>
      </c>
      <c r="I248" t="n">
        <v>1</v>
      </c>
      <c r="J248" t="n">
        <v>0</v>
      </c>
      <c r="K248" t="n">
        <v>0</v>
      </c>
      <c r="L248" t="n">
        <v>0</v>
      </c>
      <c r="M248" t="n">
        <v>0</v>
      </c>
      <c r="N248" t="n">
        <v>0</v>
      </c>
      <c r="O248" t="n">
        <v>0</v>
      </c>
      <c r="P248" t="n">
        <v>0</v>
      </c>
      <c r="Q248" t="n">
        <v>1</v>
      </c>
      <c r="R248" s="2" t="inlineStr">
        <is>
          <t>Norrlandslav</t>
        </is>
      </c>
      <c r="S248">
        <f>HYPERLINK("https://klasma.github.io/Logging_1863/artfynd/A 39540-2022 artfynd.xlsx", "A 39540-2022")</f>
        <v/>
      </c>
      <c r="T248">
        <f>HYPERLINK("https://klasma.github.io/Logging_1863/kartor/A 39540-2022 karta.png", "A 39540-2022")</f>
        <v/>
      </c>
      <c r="V248">
        <f>HYPERLINK("https://klasma.github.io/Logging_1863/klagomål/A 39540-2022 FSC-klagomål.docx", "A 39540-2022")</f>
        <v/>
      </c>
      <c r="W248">
        <f>HYPERLINK("https://klasma.github.io/Logging_1863/klagomålsmail/A 39540-2022 FSC-klagomål mail.docx", "A 39540-2022")</f>
        <v/>
      </c>
      <c r="X248">
        <f>HYPERLINK("https://klasma.github.io/Logging_1863/tillsyn/A 39540-2022 tillsynsbegäran.docx", "A 39540-2022")</f>
        <v/>
      </c>
      <c r="Y248">
        <f>HYPERLINK("https://klasma.github.io/Logging_1863/tillsynsmail/A 39540-2022 tillsynsbegäran mail.docx", "A 39540-2022")</f>
        <v/>
      </c>
    </row>
    <row r="249" ht="15" customHeight="1">
      <c r="A249" t="inlineStr">
        <is>
          <t>A 43742-2022</t>
        </is>
      </c>
      <c r="B249" s="1" t="n">
        <v>44837</v>
      </c>
      <c r="C249" s="1" t="n">
        <v>45222</v>
      </c>
      <c r="D249" t="inlineStr">
        <is>
          <t>ÖREBRO LÄN</t>
        </is>
      </c>
      <c r="E249" t="inlineStr">
        <is>
          <t>LAXÅ</t>
        </is>
      </c>
      <c r="G249" t="n">
        <v>16.8</v>
      </c>
      <c r="H249" t="n">
        <v>0</v>
      </c>
      <c r="I249" t="n">
        <v>0</v>
      </c>
      <c r="J249" t="n">
        <v>1</v>
      </c>
      <c r="K249" t="n">
        <v>0</v>
      </c>
      <c r="L249" t="n">
        <v>0</v>
      </c>
      <c r="M249" t="n">
        <v>0</v>
      </c>
      <c r="N249" t="n">
        <v>0</v>
      </c>
      <c r="O249" t="n">
        <v>1</v>
      </c>
      <c r="P249" t="n">
        <v>0</v>
      </c>
      <c r="Q249" t="n">
        <v>1</v>
      </c>
      <c r="R249" s="2" t="inlineStr">
        <is>
          <t>Violettkantad guldvinge</t>
        </is>
      </c>
      <c r="S249">
        <f>HYPERLINK("https://klasma.github.io/Logging_1860/artfynd/A 43742-2022 artfynd.xlsx", "A 43742-2022")</f>
        <v/>
      </c>
      <c r="T249">
        <f>HYPERLINK("https://klasma.github.io/Logging_1860/kartor/A 43742-2022 karta.png", "A 43742-2022")</f>
        <v/>
      </c>
      <c r="V249">
        <f>HYPERLINK("https://klasma.github.io/Logging_1860/klagomål/A 43742-2022 FSC-klagomål.docx", "A 43742-2022")</f>
        <v/>
      </c>
      <c r="W249">
        <f>HYPERLINK("https://klasma.github.io/Logging_1860/klagomålsmail/A 43742-2022 FSC-klagomål mail.docx", "A 43742-2022")</f>
        <v/>
      </c>
      <c r="X249">
        <f>HYPERLINK("https://klasma.github.io/Logging_1860/tillsyn/A 43742-2022 tillsynsbegäran.docx", "A 43742-2022")</f>
        <v/>
      </c>
      <c r="Y249">
        <f>HYPERLINK("https://klasma.github.io/Logging_1860/tillsynsmail/A 43742-2022 tillsynsbegäran mail.docx", "A 43742-2022")</f>
        <v/>
      </c>
    </row>
    <row r="250" ht="15" customHeight="1">
      <c r="A250" t="inlineStr">
        <is>
          <t>A 44361-2022</t>
        </is>
      </c>
      <c r="B250" s="1" t="n">
        <v>44839</v>
      </c>
      <c r="C250" s="1" t="n">
        <v>45222</v>
      </c>
      <c r="D250" t="inlineStr">
        <is>
          <t>ÖREBRO LÄN</t>
        </is>
      </c>
      <c r="E250" t="inlineStr">
        <is>
          <t>ÖREBRO</t>
        </is>
      </c>
      <c r="G250" t="n">
        <v>1.5</v>
      </c>
      <c r="H250" t="n">
        <v>1</v>
      </c>
      <c r="I250" t="n">
        <v>0</v>
      </c>
      <c r="J250" t="n">
        <v>0</v>
      </c>
      <c r="K250" t="n">
        <v>0</v>
      </c>
      <c r="L250" t="n">
        <v>0</v>
      </c>
      <c r="M250" t="n">
        <v>0</v>
      </c>
      <c r="N250" t="n">
        <v>0</v>
      </c>
      <c r="O250" t="n">
        <v>0</v>
      </c>
      <c r="P250" t="n">
        <v>0</v>
      </c>
      <c r="Q250" t="n">
        <v>1</v>
      </c>
      <c r="R250" s="2" t="inlineStr">
        <is>
          <t>Blåsippa</t>
        </is>
      </c>
      <c r="S250">
        <f>HYPERLINK("https://klasma.github.io/Logging_1880/artfynd/A 44361-2022 artfynd.xlsx", "A 44361-2022")</f>
        <v/>
      </c>
      <c r="T250">
        <f>HYPERLINK("https://klasma.github.io/Logging_1880/kartor/A 44361-2022 karta.png", "A 44361-2022")</f>
        <v/>
      </c>
      <c r="V250">
        <f>HYPERLINK("https://klasma.github.io/Logging_1880/klagomål/A 44361-2022 FSC-klagomål.docx", "A 44361-2022")</f>
        <v/>
      </c>
      <c r="W250">
        <f>HYPERLINK("https://klasma.github.io/Logging_1880/klagomålsmail/A 44361-2022 FSC-klagomål mail.docx", "A 44361-2022")</f>
        <v/>
      </c>
      <c r="X250">
        <f>HYPERLINK("https://klasma.github.io/Logging_1880/tillsyn/A 44361-2022 tillsynsbegäran.docx", "A 44361-2022")</f>
        <v/>
      </c>
      <c r="Y250">
        <f>HYPERLINK("https://klasma.github.io/Logging_1880/tillsynsmail/A 44361-2022 tillsynsbegäran mail.docx", "A 44361-2022")</f>
        <v/>
      </c>
    </row>
    <row r="251" ht="15" customHeight="1">
      <c r="A251" t="inlineStr">
        <is>
          <t>A 48879-2022</t>
        </is>
      </c>
      <c r="B251" s="1" t="n">
        <v>44859</v>
      </c>
      <c r="C251" s="1" t="n">
        <v>45222</v>
      </c>
      <c r="D251" t="inlineStr">
        <is>
          <t>ÖREBRO LÄN</t>
        </is>
      </c>
      <c r="E251" t="inlineStr">
        <is>
          <t>ASKERSUND</t>
        </is>
      </c>
      <c r="G251" t="n">
        <v>8.199999999999999</v>
      </c>
      <c r="H251" t="n">
        <v>0</v>
      </c>
      <c r="I251" t="n">
        <v>0</v>
      </c>
      <c r="J251" t="n">
        <v>1</v>
      </c>
      <c r="K251" t="n">
        <v>0</v>
      </c>
      <c r="L251" t="n">
        <v>0</v>
      </c>
      <c r="M251" t="n">
        <v>0</v>
      </c>
      <c r="N251" t="n">
        <v>0</v>
      </c>
      <c r="O251" t="n">
        <v>1</v>
      </c>
      <c r="P251" t="n">
        <v>0</v>
      </c>
      <c r="Q251" t="n">
        <v>1</v>
      </c>
      <c r="R251" s="2" t="inlineStr">
        <is>
          <t>Rutspindling</t>
        </is>
      </c>
      <c r="S251">
        <f>HYPERLINK("https://klasma.github.io/Logging_1882/artfynd/A 48879-2022 artfynd.xlsx", "A 48879-2022")</f>
        <v/>
      </c>
      <c r="T251">
        <f>HYPERLINK("https://klasma.github.io/Logging_1882/kartor/A 48879-2022 karta.png", "A 48879-2022")</f>
        <v/>
      </c>
      <c r="V251">
        <f>HYPERLINK("https://klasma.github.io/Logging_1882/klagomål/A 48879-2022 FSC-klagomål.docx", "A 48879-2022")</f>
        <v/>
      </c>
      <c r="W251">
        <f>HYPERLINK("https://klasma.github.io/Logging_1882/klagomålsmail/A 48879-2022 FSC-klagomål mail.docx", "A 48879-2022")</f>
        <v/>
      </c>
      <c r="X251">
        <f>HYPERLINK("https://klasma.github.io/Logging_1882/tillsyn/A 48879-2022 tillsynsbegäran.docx", "A 48879-2022")</f>
        <v/>
      </c>
      <c r="Y251">
        <f>HYPERLINK("https://klasma.github.io/Logging_1882/tillsynsmail/A 48879-2022 tillsynsbegäran mail.docx", "A 48879-2022")</f>
        <v/>
      </c>
    </row>
    <row r="252" ht="15" customHeight="1">
      <c r="A252" t="inlineStr">
        <is>
          <t>A 50580-2022</t>
        </is>
      </c>
      <c r="B252" s="1" t="n">
        <v>44861</v>
      </c>
      <c r="C252" s="1" t="n">
        <v>45222</v>
      </c>
      <c r="D252" t="inlineStr">
        <is>
          <t>ÖREBRO LÄN</t>
        </is>
      </c>
      <c r="E252" t="inlineStr">
        <is>
          <t>LAXÅ</t>
        </is>
      </c>
      <c r="G252" t="n">
        <v>15.9</v>
      </c>
      <c r="H252" t="n">
        <v>0</v>
      </c>
      <c r="I252" t="n">
        <v>1</v>
      </c>
      <c r="J252" t="n">
        <v>0</v>
      </c>
      <c r="K252" t="n">
        <v>0</v>
      </c>
      <c r="L252" t="n">
        <v>0</v>
      </c>
      <c r="M252" t="n">
        <v>0</v>
      </c>
      <c r="N252" t="n">
        <v>0</v>
      </c>
      <c r="O252" t="n">
        <v>0</v>
      </c>
      <c r="P252" t="n">
        <v>0</v>
      </c>
      <c r="Q252" t="n">
        <v>1</v>
      </c>
      <c r="R252" s="2" t="inlineStr">
        <is>
          <t>Dropptaggsvamp</t>
        </is>
      </c>
      <c r="S252">
        <f>HYPERLINK("https://klasma.github.io/Logging_1860/artfynd/A 50580-2022 artfynd.xlsx", "A 50580-2022")</f>
        <v/>
      </c>
      <c r="T252">
        <f>HYPERLINK("https://klasma.github.io/Logging_1860/kartor/A 50580-2022 karta.png", "A 50580-2022")</f>
        <v/>
      </c>
      <c r="V252">
        <f>HYPERLINK("https://klasma.github.io/Logging_1860/klagomål/A 50580-2022 FSC-klagomål.docx", "A 50580-2022")</f>
        <v/>
      </c>
      <c r="W252">
        <f>HYPERLINK("https://klasma.github.io/Logging_1860/klagomålsmail/A 50580-2022 FSC-klagomål mail.docx", "A 50580-2022")</f>
        <v/>
      </c>
      <c r="X252">
        <f>HYPERLINK("https://klasma.github.io/Logging_1860/tillsyn/A 50580-2022 tillsynsbegäran.docx", "A 50580-2022")</f>
        <v/>
      </c>
      <c r="Y252">
        <f>HYPERLINK("https://klasma.github.io/Logging_1860/tillsynsmail/A 50580-2022 tillsynsbegäran mail.docx", "A 50580-2022")</f>
        <v/>
      </c>
    </row>
    <row r="253" ht="15" customHeight="1">
      <c r="A253" t="inlineStr">
        <is>
          <t>A 54267-2022</t>
        </is>
      </c>
      <c r="B253" s="1" t="n">
        <v>44882</v>
      </c>
      <c r="C253" s="1" t="n">
        <v>45222</v>
      </c>
      <c r="D253" t="inlineStr">
        <is>
          <t>ÖREBRO LÄN</t>
        </is>
      </c>
      <c r="E253" t="inlineStr">
        <is>
          <t>HÄLLEFORS</t>
        </is>
      </c>
      <c r="F253" t="inlineStr">
        <is>
          <t>Bergvik skog väst AB</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HYPERLINK("https://klasma.github.io/Logging_1863/artfynd/A 54267-2022 artfynd.xlsx", "A 54267-2022")</f>
        <v/>
      </c>
      <c r="T253">
        <f>HYPERLINK("https://klasma.github.io/Logging_1863/kartor/A 54267-2022 karta.png", "A 54267-2022")</f>
        <v/>
      </c>
      <c r="U253">
        <f>HYPERLINK("https://klasma.github.io/Logging_1863/knärot/A 54267-2022 karta knärot.png", "A 54267-2022")</f>
        <v/>
      </c>
      <c r="V253">
        <f>HYPERLINK("https://klasma.github.io/Logging_1863/klagomål/A 54267-2022 FSC-klagomål.docx", "A 54267-2022")</f>
        <v/>
      </c>
      <c r="W253">
        <f>HYPERLINK("https://klasma.github.io/Logging_1863/klagomålsmail/A 54267-2022 FSC-klagomål mail.docx", "A 54267-2022")</f>
        <v/>
      </c>
      <c r="X253">
        <f>HYPERLINK("https://klasma.github.io/Logging_1863/tillsyn/A 54267-2022 tillsynsbegäran.docx", "A 54267-2022")</f>
        <v/>
      </c>
      <c r="Y253">
        <f>HYPERLINK("https://klasma.github.io/Logging_1863/tillsynsmail/A 54267-2022 tillsynsbegäran mail.docx", "A 54267-2022")</f>
        <v/>
      </c>
    </row>
    <row r="254" ht="15" customHeight="1">
      <c r="A254" t="inlineStr">
        <is>
          <t>A 54301-2022</t>
        </is>
      </c>
      <c r="B254" s="1" t="n">
        <v>44882</v>
      </c>
      <c r="C254" s="1" t="n">
        <v>45222</v>
      </c>
      <c r="D254" t="inlineStr">
        <is>
          <t>ÖREBRO LÄN</t>
        </is>
      </c>
      <c r="E254" t="inlineStr">
        <is>
          <t>LAXÅ</t>
        </is>
      </c>
      <c r="F254" t="inlineStr">
        <is>
          <t>Sveaskog</t>
        </is>
      </c>
      <c r="G254" t="n">
        <v>6.2</v>
      </c>
      <c r="H254" t="n">
        <v>1</v>
      </c>
      <c r="I254" t="n">
        <v>0</v>
      </c>
      <c r="J254" t="n">
        <v>0</v>
      </c>
      <c r="K254" t="n">
        <v>0</v>
      </c>
      <c r="L254" t="n">
        <v>0</v>
      </c>
      <c r="M254" t="n">
        <v>0</v>
      </c>
      <c r="N254" t="n">
        <v>0</v>
      </c>
      <c r="O254" t="n">
        <v>0</v>
      </c>
      <c r="P254" t="n">
        <v>0</v>
      </c>
      <c r="Q254" t="n">
        <v>1</v>
      </c>
      <c r="R254" s="2" t="inlineStr">
        <is>
          <t>Revlummer</t>
        </is>
      </c>
      <c r="S254">
        <f>HYPERLINK("https://klasma.github.io/Logging_1860/artfynd/A 54301-2022 artfynd.xlsx", "A 54301-2022")</f>
        <v/>
      </c>
      <c r="T254">
        <f>HYPERLINK("https://klasma.github.io/Logging_1860/kartor/A 54301-2022 karta.png", "A 54301-2022")</f>
        <v/>
      </c>
      <c r="V254">
        <f>HYPERLINK("https://klasma.github.io/Logging_1860/klagomål/A 54301-2022 FSC-klagomål.docx", "A 54301-2022")</f>
        <v/>
      </c>
      <c r="W254">
        <f>HYPERLINK("https://klasma.github.io/Logging_1860/klagomålsmail/A 54301-2022 FSC-klagomål mail.docx", "A 54301-2022")</f>
        <v/>
      </c>
      <c r="X254">
        <f>HYPERLINK("https://klasma.github.io/Logging_1860/tillsyn/A 54301-2022 tillsynsbegäran.docx", "A 54301-2022")</f>
        <v/>
      </c>
      <c r="Y254">
        <f>HYPERLINK("https://klasma.github.io/Logging_1860/tillsynsmail/A 54301-2022 tillsynsbegäran mail.docx", "A 54301-2022")</f>
        <v/>
      </c>
    </row>
    <row r="255" ht="15" customHeight="1">
      <c r="A255" t="inlineStr">
        <is>
          <t>A 58976-2022</t>
        </is>
      </c>
      <c r="B255" s="1" t="n">
        <v>44903</v>
      </c>
      <c r="C255" s="1" t="n">
        <v>45222</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Spillkråka</t>
        </is>
      </c>
      <c r="S255">
        <f>HYPERLINK("https://klasma.github.io/Logging_1860/artfynd/A 58976-2022 artfynd.xlsx", "A 58976-2022")</f>
        <v/>
      </c>
      <c r="T255">
        <f>HYPERLINK("https://klasma.github.io/Logging_1860/kartor/A 58976-2022 karta.png", "A 58976-2022")</f>
        <v/>
      </c>
      <c r="V255">
        <f>HYPERLINK("https://klasma.github.io/Logging_1860/klagomål/A 58976-2022 FSC-klagomål.docx", "A 58976-2022")</f>
        <v/>
      </c>
      <c r="W255">
        <f>HYPERLINK("https://klasma.github.io/Logging_1860/klagomålsmail/A 58976-2022 FSC-klagomål mail.docx", "A 58976-2022")</f>
        <v/>
      </c>
      <c r="X255">
        <f>HYPERLINK("https://klasma.github.io/Logging_1860/tillsyn/A 58976-2022 tillsynsbegäran.docx", "A 58976-2022")</f>
        <v/>
      </c>
      <c r="Y255">
        <f>HYPERLINK("https://klasma.github.io/Logging_1860/tillsynsmail/A 58976-2022 tillsynsbegäran mail.docx", "A 58976-2022")</f>
        <v/>
      </c>
    </row>
    <row r="256" ht="15" customHeight="1">
      <c r="A256" t="inlineStr">
        <is>
          <t>A 60162-2022</t>
        </is>
      </c>
      <c r="B256" s="1" t="n">
        <v>44909</v>
      </c>
      <c r="C256" s="1" t="n">
        <v>45222</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62105-2022</t>
        </is>
      </c>
      <c r="B257" s="1" t="n">
        <v>44920</v>
      </c>
      <c r="C257" s="1" t="n">
        <v>45222</v>
      </c>
      <c r="D257" t="inlineStr">
        <is>
          <t>ÖREBRO LÄN</t>
        </is>
      </c>
      <c r="E257" t="inlineStr">
        <is>
          <t>LJUSNARSBERG</t>
        </is>
      </c>
      <c r="G257" t="n">
        <v>5.7</v>
      </c>
      <c r="H257" t="n">
        <v>1</v>
      </c>
      <c r="I257" t="n">
        <v>0</v>
      </c>
      <c r="J257" t="n">
        <v>1</v>
      </c>
      <c r="K257" t="n">
        <v>0</v>
      </c>
      <c r="L257" t="n">
        <v>0</v>
      </c>
      <c r="M257" t="n">
        <v>0</v>
      </c>
      <c r="N257" t="n">
        <v>0</v>
      </c>
      <c r="O257" t="n">
        <v>1</v>
      </c>
      <c r="P257" t="n">
        <v>0</v>
      </c>
      <c r="Q257" t="n">
        <v>1</v>
      </c>
      <c r="R257" s="2" t="inlineStr">
        <is>
          <t>Spillkråka</t>
        </is>
      </c>
      <c r="S257">
        <f>HYPERLINK("https://klasma.github.io/Logging_1864/artfynd/A 62105-2022 artfynd.xlsx", "A 62105-2022")</f>
        <v/>
      </c>
      <c r="T257">
        <f>HYPERLINK("https://klasma.github.io/Logging_1864/kartor/A 62105-2022 karta.png", "A 62105-2022")</f>
        <v/>
      </c>
      <c r="V257">
        <f>HYPERLINK("https://klasma.github.io/Logging_1864/klagomål/A 62105-2022 FSC-klagomål.docx", "A 62105-2022")</f>
        <v/>
      </c>
      <c r="W257">
        <f>HYPERLINK("https://klasma.github.io/Logging_1864/klagomålsmail/A 62105-2022 FSC-klagomål mail.docx", "A 62105-2022")</f>
        <v/>
      </c>
      <c r="X257">
        <f>HYPERLINK("https://klasma.github.io/Logging_1864/tillsyn/A 62105-2022 tillsynsbegäran.docx", "A 62105-2022")</f>
        <v/>
      </c>
      <c r="Y257">
        <f>HYPERLINK("https://klasma.github.io/Logging_1864/tillsynsmail/A 62105-2022 tillsynsbegäran mail.docx", "A 62105-2022")</f>
        <v/>
      </c>
    </row>
    <row r="258" ht="15" customHeight="1">
      <c r="A258" t="inlineStr">
        <is>
          <t>A 364-2023</t>
        </is>
      </c>
      <c r="B258" s="1" t="n">
        <v>44929</v>
      </c>
      <c r="C258" s="1" t="n">
        <v>45222</v>
      </c>
      <c r="D258" t="inlineStr">
        <is>
          <t>ÖREBRO LÄN</t>
        </is>
      </c>
      <c r="E258" t="inlineStr">
        <is>
          <t>HALLSBERG</t>
        </is>
      </c>
      <c r="F258" t="inlineStr">
        <is>
          <t>Sveaskog</t>
        </is>
      </c>
      <c r="G258" t="n">
        <v>2.2</v>
      </c>
      <c r="H258" t="n">
        <v>0</v>
      </c>
      <c r="I258" t="n">
        <v>0</v>
      </c>
      <c r="J258" t="n">
        <v>1</v>
      </c>
      <c r="K258" t="n">
        <v>0</v>
      </c>
      <c r="L258" t="n">
        <v>0</v>
      </c>
      <c r="M258" t="n">
        <v>0</v>
      </c>
      <c r="N258" t="n">
        <v>0</v>
      </c>
      <c r="O258" t="n">
        <v>1</v>
      </c>
      <c r="P258" t="n">
        <v>0</v>
      </c>
      <c r="Q258" t="n">
        <v>1</v>
      </c>
      <c r="R258" s="2" t="inlineStr">
        <is>
          <t>Guldsandbi</t>
        </is>
      </c>
      <c r="S258">
        <f>HYPERLINK("https://klasma.github.io/Logging_1861/artfynd/A 364-2023 artfynd.xlsx", "A 364-2023")</f>
        <v/>
      </c>
      <c r="T258">
        <f>HYPERLINK("https://klasma.github.io/Logging_1861/kartor/A 364-2023 karta.png", "A 364-2023")</f>
        <v/>
      </c>
      <c r="V258">
        <f>HYPERLINK("https://klasma.github.io/Logging_1861/klagomål/A 364-2023 FSC-klagomål.docx", "A 364-2023")</f>
        <v/>
      </c>
      <c r="W258">
        <f>HYPERLINK("https://klasma.github.io/Logging_1861/klagomålsmail/A 364-2023 FSC-klagomål mail.docx", "A 364-2023")</f>
        <v/>
      </c>
      <c r="X258">
        <f>HYPERLINK("https://klasma.github.io/Logging_1861/tillsyn/A 364-2023 tillsynsbegäran.docx", "A 364-2023")</f>
        <v/>
      </c>
      <c r="Y258">
        <f>HYPERLINK("https://klasma.github.io/Logging_1861/tillsynsmail/A 364-2023 tillsynsbegäran mail.docx", "A 364-2023")</f>
        <v/>
      </c>
    </row>
    <row r="259" ht="15" customHeight="1">
      <c r="A259" t="inlineStr">
        <is>
          <t>A 515-2023</t>
        </is>
      </c>
      <c r="B259" s="1" t="n">
        <v>44930</v>
      </c>
      <c r="C259" s="1" t="n">
        <v>45222</v>
      </c>
      <c r="D259" t="inlineStr">
        <is>
          <t>ÖREBRO LÄN</t>
        </is>
      </c>
      <c r="E259" t="inlineStr">
        <is>
          <t>HALLSBERG</t>
        </is>
      </c>
      <c r="G259" t="n">
        <v>6.6</v>
      </c>
      <c r="H259" t="n">
        <v>0</v>
      </c>
      <c r="I259" t="n">
        <v>0</v>
      </c>
      <c r="J259" t="n">
        <v>0</v>
      </c>
      <c r="K259" t="n">
        <v>0</v>
      </c>
      <c r="L259" t="n">
        <v>1</v>
      </c>
      <c r="M259" t="n">
        <v>0</v>
      </c>
      <c r="N259" t="n">
        <v>0</v>
      </c>
      <c r="O259" t="n">
        <v>1</v>
      </c>
      <c r="P259" t="n">
        <v>1</v>
      </c>
      <c r="Q259" t="n">
        <v>1</v>
      </c>
      <c r="R259" s="2" t="inlineStr">
        <is>
          <t>Ask</t>
        </is>
      </c>
      <c r="S259">
        <f>HYPERLINK("https://klasma.github.io/Logging_1861/artfynd/A 515-2023 artfynd.xlsx", "A 515-2023")</f>
        <v/>
      </c>
      <c r="T259">
        <f>HYPERLINK("https://klasma.github.io/Logging_1861/kartor/A 515-2023 karta.png", "A 515-2023")</f>
        <v/>
      </c>
      <c r="V259">
        <f>HYPERLINK("https://klasma.github.io/Logging_1861/klagomål/A 515-2023 FSC-klagomål.docx", "A 515-2023")</f>
        <v/>
      </c>
      <c r="W259">
        <f>HYPERLINK("https://klasma.github.io/Logging_1861/klagomålsmail/A 515-2023 FSC-klagomål mail.docx", "A 515-2023")</f>
        <v/>
      </c>
      <c r="X259">
        <f>HYPERLINK("https://klasma.github.io/Logging_1861/tillsyn/A 515-2023 tillsynsbegäran.docx", "A 515-2023")</f>
        <v/>
      </c>
      <c r="Y259">
        <f>HYPERLINK("https://klasma.github.io/Logging_1861/tillsynsmail/A 515-2023 tillsynsbegäran mail.docx", "A 515-2023")</f>
        <v/>
      </c>
    </row>
    <row r="260" ht="15" customHeight="1">
      <c r="A260" t="inlineStr">
        <is>
          <t>A 1195-2023</t>
        </is>
      </c>
      <c r="B260" s="1" t="n">
        <v>44935</v>
      </c>
      <c r="C260" s="1" t="n">
        <v>45222</v>
      </c>
      <c r="D260" t="inlineStr">
        <is>
          <t>ÖREBRO LÄN</t>
        </is>
      </c>
      <c r="E260" t="inlineStr">
        <is>
          <t>HALLSBERG</t>
        </is>
      </c>
      <c r="G260" t="n">
        <v>11.2</v>
      </c>
      <c r="H260" t="n">
        <v>0</v>
      </c>
      <c r="I260" t="n">
        <v>1</v>
      </c>
      <c r="J260" t="n">
        <v>0</v>
      </c>
      <c r="K260" t="n">
        <v>0</v>
      </c>
      <c r="L260" t="n">
        <v>0</v>
      </c>
      <c r="M260" t="n">
        <v>0</v>
      </c>
      <c r="N260" t="n">
        <v>0</v>
      </c>
      <c r="O260" t="n">
        <v>0</v>
      </c>
      <c r="P260" t="n">
        <v>0</v>
      </c>
      <c r="Q260" t="n">
        <v>1</v>
      </c>
      <c r="R260" s="2" t="inlineStr">
        <is>
          <t>Hasselticka</t>
        </is>
      </c>
      <c r="S260">
        <f>HYPERLINK("https://klasma.github.io/Logging_1861/artfynd/A 1195-2023 artfynd.xlsx", "A 1195-2023")</f>
        <v/>
      </c>
      <c r="T260">
        <f>HYPERLINK("https://klasma.github.io/Logging_1861/kartor/A 1195-2023 karta.png", "A 1195-2023")</f>
        <v/>
      </c>
      <c r="V260">
        <f>HYPERLINK("https://klasma.github.io/Logging_1861/klagomål/A 1195-2023 FSC-klagomål.docx", "A 1195-2023")</f>
        <v/>
      </c>
      <c r="W260">
        <f>HYPERLINK("https://klasma.github.io/Logging_1861/klagomålsmail/A 1195-2023 FSC-klagomål mail.docx", "A 1195-2023")</f>
        <v/>
      </c>
      <c r="X260">
        <f>HYPERLINK("https://klasma.github.io/Logging_1861/tillsyn/A 1195-2023 tillsynsbegäran.docx", "A 1195-2023")</f>
        <v/>
      </c>
      <c r="Y260">
        <f>HYPERLINK("https://klasma.github.io/Logging_1861/tillsynsmail/A 1195-2023 tillsynsbegäran mail.docx", "A 1195-2023")</f>
        <v/>
      </c>
    </row>
    <row r="261" ht="15" customHeight="1">
      <c r="A261" t="inlineStr">
        <is>
          <t>A 1615-2023</t>
        </is>
      </c>
      <c r="B261" s="1" t="n">
        <v>44937</v>
      </c>
      <c r="C261" s="1" t="n">
        <v>45222</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row>
    <row r="262" ht="15" customHeight="1">
      <c r="A262" t="inlineStr">
        <is>
          <t>A 3729-2023</t>
        </is>
      </c>
      <c r="B262" s="1" t="n">
        <v>44949</v>
      </c>
      <c r="C262" s="1" t="n">
        <v>45222</v>
      </c>
      <c r="D262" t="inlineStr">
        <is>
          <t>ÖREBRO LÄN</t>
        </is>
      </c>
      <c r="E262" t="inlineStr">
        <is>
          <t>LINDESBERG</t>
        </is>
      </c>
      <c r="G262" t="n">
        <v>4</v>
      </c>
      <c r="H262" t="n">
        <v>0</v>
      </c>
      <c r="I262" t="n">
        <v>0</v>
      </c>
      <c r="J262" t="n">
        <v>1</v>
      </c>
      <c r="K262" t="n">
        <v>0</v>
      </c>
      <c r="L262" t="n">
        <v>0</v>
      </c>
      <c r="M262" t="n">
        <v>0</v>
      </c>
      <c r="N262" t="n">
        <v>0</v>
      </c>
      <c r="O262" t="n">
        <v>1</v>
      </c>
      <c r="P262" t="n">
        <v>0</v>
      </c>
      <c r="Q262" t="n">
        <v>1</v>
      </c>
      <c r="R262" s="2" t="inlineStr">
        <is>
          <t>Motaggsvamp</t>
        </is>
      </c>
      <c r="S262">
        <f>HYPERLINK("https://klasma.github.io/Logging_1885/artfynd/A 3729-2023 artfynd.xlsx", "A 3729-2023")</f>
        <v/>
      </c>
      <c r="T262">
        <f>HYPERLINK("https://klasma.github.io/Logging_1885/kartor/A 3729-2023 karta.png", "A 3729-2023")</f>
        <v/>
      </c>
      <c r="V262">
        <f>HYPERLINK("https://klasma.github.io/Logging_1885/klagomål/A 3729-2023 FSC-klagomål.docx", "A 3729-2023")</f>
        <v/>
      </c>
      <c r="W262">
        <f>HYPERLINK("https://klasma.github.io/Logging_1885/klagomålsmail/A 3729-2023 FSC-klagomål mail.docx", "A 3729-2023")</f>
        <v/>
      </c>
      <c r="X262">
        <f>HYPERLINK("https://klasma.github.io/Logging_1885/tillsyn/A 3729-2023 tillsynsbegäran.docx", "A 3729-2023")</f>
        <v/>
      </c>
      <c r="Y262">
        <f>HYPERLINK("https://klasma.github.io/Logging_1885/tillsynsmail/A 3729-2023 tillsynsbegäran mail.docx", "A 3729-2023")</f>
        <v/>
      </c>
    </row>
    <row r="263" ht="15" customHeight="1">
      <c r="A263" t="inlineStr">
        <is>
          <t>A 4652-2023</t>
        </is>
      </c>
      <c r="B263" s="1" t="n">
        <v>44957</v>
      </c>
      <c r="C263" s="1" t="n">
        <v>45222</v>
      </c>
      <c r="D263" t="inlineStr">
        <is>
          <t>ÖREBRO LÄN</t>
        </is>
      </c>
      <c r="E263" t="inlineStr">
        <is>
          <t>HÄLLEFORS</t>
        </is>
      </c>
      <c r="G263" t="n">
        <v>2.5</v>
      </c>
      <c r="H263" t="n">
        <v>0</v>
      </c>
      <c r="I263" t="n">
        <v>0</v>
      </c>
      <c r="J263" t="n">
        <v>1</v>
      </c>
      <c r="K263" t="n">
        <v>0</v>
      </c>
      <c r="L263" t="n">
        <v>0</v>
      </c>
      <c r="M263" t="n">
        <v>0</v>
      </c>
      <c r="N263" t="n">
        <v>0</v>
      </c>
      <c r="O263" t="n">
        <v>1</v>
      </c>
      <c r="P263" t="n">
        <v>0</v>
      </c>
      <c r="Q263" t="n">
        <v>1</v>
      </c>
      <c r="R263" s="2" t="inlineStr">
        <is>
          <t>Vedtrappmossa</t>
        </is>
      </c>
      <c r="S263">
        <f>HYPERLINK("https://klasma.github.io/Logging_1863/artfynd/A 4652-2023 artfynd.xlsx", "A 4652-2023")</f>
        <v/>
      </c>
      <c r="T263">
        <f>HYPERLINK("https://klasma.github.io/Logging_1863/kartor/A 4652-2023 karta.png", "A 4652-2023")</f>
        <v/>
      </c>
      <c r="V263">
        <f>HYPERLINK("https://klasma.github.io/Logging_1863/klagomål/A 4652-2023 FSC-klagomål.docx", "A 4652-2023")</f>
        <v/>
      </c>
      <c r="W263">
        <f>HYPERLINK("https://klasma.github.io/Logging_1863/klagomålsmail/A 4652-2023 FSC-klagomål mail.docx", "A 4652-2023")</f>
        <v/>
      </c>
      <c r="X263">
        <f>HYPERLINK("https://klasma.github.io/Logging_1863/tillsyn/A 4652-2023 tillsynsbegäran.docx", "A 4652-2023")</f>
        <v/>
      </c>
      <c r="Y263">
        <f>HYPERLINK("https://klasma.github.io/Logging_1863/tillsynsmail/A 4652-2023 tillsynsbegäran mail.docx", "A 4652-2023")</f>
        <v/>
      </c>
    </row>
    <row r="264" ht="15" customHeight="1">
      <c r="A264" t="inlineStr">
        <is>
          <t>A 5097-2023</t>
        </is>
      </c>
      <c r="B264" s="1" t="n">
        <v>44958</v>
      </c>
      <c r="C264" s="1" t="n">
        <v>45222</v>
      </c>
      <c r="D264" t="inlineStr">
        <is>
          <t>ÖREBRO LÄN</t>
        </is>
      </c>
      <c r="E264" t="inlineStr">
        <is>
          <t>ÖREBRO</t>
        </is>
      </c>
      <c r="G264" t="n">
        <v>3.6</v>
      </c>
      <c r="H264" t="n">
        <v>1</v>
      </c>
      <c r="I264" t="n">
        <v>0</v>
      </c>
      <c r="J264" t="n">
        <v>0</v>
      </c>
      <c r="K264" t="n">
        <v>0</v>
      </c>
      <c r="L264" t="n">
        <v>0</v>
      </c>
      <c r="M264" t="n">
        <v>0</v>
      </c>
      <c r="N264" t="n">
        <v>0</v>
      </c>
      <c r="O264" t="n">
        <v>0</v>
      </c>
      <c r="P264" t="n">
        <v>0</v>
      </c>
      <c r="Q264" t="n">
        <v>1</v>
      </c>
      <c r="R264" s="2" t="inlineStr">
        <is>
          <t>Grönvit nattviol</t>
        </is>
      </c>
      <c r="S264">
        <f>HYPERLINK("https://klasma.github.io/Logging_1880/artfynd/A 5097-2023 artfynd.xlsx", "A 5097-2023")</f>
        <v/>
      </c>
      <c r="T264">
        <f>HYPERLINK("https://klasma.github.io/Logging_1880/kartor/A 5097-2023 karta.png", "A 5097-2023")</f>
        <v/>
      </c>
      <c r="V264">
        <f>HYPERLINK("https://klasma.github.io/Logging_1880/klagomål/A 5097-2023 FSC-klagomål.docx", "A 5097-2023")</f>
        <v/>
      </c>
      <c r="W264">
        <f>HYPERLINK("https://klasma.github.io/Logging_1880/klagomålsmail/A 5097-2023 FSC-klagomål mail.docx", "A 5097-2023")</f>
        <v/>
      </c>
      <c r="X264">
        <f>HYPERLINK("https://klasma.github.io/Logging_1880/tillsyn/A 5097-2023 tillsynsbegäran.docx", "A 5097-2023")</f>
        <v/>
      </c>
      <c r="Y264">
        <f>HYPERLINK("https://klasma.github.io/Logging_1880/tillsynsmail/A 5097-2023 tillsynsbegäran mail.docx", "A 5097-2023")</f>
        <v/>
      </c>
    </row>
    <row r="265" ht="15" customHeight="1">
      <c r="A265" t="inlineStr">
        <is>
          <t>A 7384-2023</t>
        </is>
      </c>
      <c r="B265" s="1" t="n">
        <v>44966</v>
      </c>
      <c r="C265" s="1" t="n">
        <v>45222</v>
      </c>
      <c r="D265" t="inlineStr">
        <is>
          <t>ÖREBRO LÄN</t>
        </is>
      </c>
      <c r="E265" t="inlineStr">
        <is>
          <t>DEGERFORS</t>
        </is>
      </c>
      <c r="F265" t="inlineStr">
        <is>
          <t>Sveaskog</t>
        </is>
      </c>
      <c r="G265" t="n">
        <v>10.9</v>
      </c>
      <c r="H265" t="n">
        <v>0</v>
      </c>
      <c r="I265" t="n">
        <v>0</v>
      </c>
      <c r="J265" t="n">
        <v>1</v>
      </c>
      <c r="K265" t="n">
        <v>0</v>
      </c>
      <c r="L265" t="n">
        <v>0</v>
      </c>
      <c r="M265" t="n">
        <v>0</v>
      </c>
      <c r="N265" t="n">
        <v>0</v>
      </c>
      <c r="O265" t="n">
        <v>1</v>
      </c>
      <c r="P265" t="n">
        <v>0</v>
      </c>
      <c r="Q265" t="n">
        <v>1</v>
      </c>
      <c r="R265" s="2" t="inlineStr">
        <is>
          <t>Skogsklocka</t>
        </is>
      </c>
      <c r="S265">
        <f>HYPERLINK("https://klasma.github.io/Logging_1862/artfynd/A 7384-2023 artfynd.xlsx", "A 7384-2023")</f>
        <v/>
      </c>
      <c r="T265">
        <f>HYPERLINK("https://klasma.github.io/Logging_1862/kartor/A 7384-2023 karta.png", "A 7384-2023")</f>
        <v/>
      </c>
      <c r="V265">
        <f>HYPERLINK("https://klasma.github.io/Logging_1862/klagomål/A 7384-2023 FSC-klagomål.docx", "A 7384-2023")</f>
        <v/>
      </c>
      <c r="W265">
        <f>HYPERLINK("https://klasma.github.io/Logging_1862/klagomålsmail/A 7384-2023 FSC-klagomål mail.docx", "A 7384-2023")</f>
        <v/>
      </c>
      <c r="X265">
        <f>HYPERLINK("https://klasma.github.io/Logging_1862/tillsyn/A 7384-2023 tillsynsbegäran.docx", "A 7384-2023")</f>
        <v/>
      </c>
      <c r="Y265">
        <f>HYPERLINK("https://klasma.github.io/Logging_1862/tillsynsmail/A 7384-2023 tillsynsbegäran mail.docx", "A 7384-2023")</f>
        <v/>
      </c>
    </row>
    <row r="266" ht="15" customHeight="1">
      <c r="A266" t="inlineStr">
        <is>
          <t>A 8950-2023</t>
        </is>
      </c>
      <c r="B266" s="1" t="n">
        <v>44979</v>
      </c>
      <c r="C266" s="1" t="n">
        <v>45222</v>
      </c>
      <c r="D266" t="inlineStr">
        <is>
          <t>ÖREBRO LÄN</t>
        </is>
      </c>
      <c r="E266" t="inlineStr">
        <is>
          <t>LINDESBERG</t>
        </is>
      </c>
      <c r="G266" t="n">
        <v>27</v>
      </c>
      <c r="H266" t="n">
        <v>1</v>
      </c>
      <c r="I266" t="n">
        <v>0</v>
      </c>
      <c r="J266" t="n">
        <v>1</v>
      </c>
      <c r="K266" t="n">
        <v>0</v>
      </c>
      <c r="L266" t="n">
        <v>0</v>
      </c>
      <c r="M266" t="n">
        <v>0</v>
      </c>
      <c r="N266" t="n">
        <v>0</v>
      </c>
      <c r="O266" t="n">
        <v>1</v>
      </c>
      <c r="P266" t="n">
        <v>0</v>
      </c>
      <c r="Q266" t="n">
        <v>1</v>
      </c>
      <c r="R266" s="2" t="inlineStr">
        <is>
          <t>Tretåig hackspett</t>
        </is>
      </c>
      <c r="S266">
        <f>HYPERLINK("https://klasma.github.io/Logging_1885/artfynd/A 8950-2023 artfynd.xlsx", "A 8950-2023")</f>
        <v/>
      </c>
      <c r="T266">
        <f>HYPERLINK("https://klasma.github.io/Logging_1885/kartor/A 8950-2023 karta.png", "A 8950-2023")</f>
        <v/>
      </c>
      <c r="V266">
        <f>HYPERLINK("https://klasma.github.io/Logging_1885/klagomål/A 8950-2023 FSC-klagomål.docx", "A 8950-2023")</f>
        <v/>
      </c>
      <c r="W266">
        <f>HYPERLINK("https://klasma.github.io/Logging_1885/klagomålsmail/A 8950-2023 FSC-klagomål mail.docx", "A 8950-2023")</f>
        <v/>
      </c>
      <c r="X266">
        <f>HYPERLINK("https://klasma.github.io/Logging_1885/tillsyn/A 8950-2023 tillsynsbegäran.docx", "A 8950-2023")</f>
        <v/>
      </c>
      <c r="Y266">
        <f>HYPERLINK("https://klasma.github.io/Logging_1885/tillsynsmail/A 8950-2023 tillsynsbegäran mail.docx", "A 8950-2023")</f>
        <v/>
      </c>
    </row>
    <row r="267" ht="15" customHeight="1">
      <c r="A267" t="inlineStr">
        <is>
          <t>A 11498-2023</t>
        </is>
      </c>
      <c r="B267" s="1" t="n">
        <v>44993</v>
      </c>
      <c r="C267" s="1" t="n">
        <v>45222</v>
      </c>
      <c r="D267" t="inlineStr">
        <is>
          <t>ÖREBRO LÄN</t>
        </is>
      </c>
      <c r="E267" t="inlineStr">
        <is>
          <t>ASKERSUND</t>
        </is>
      </c>
      <c r="G267" t="n">
        <v>3.8</v>
      </c>
      <c r="H267" t="n">
        <v>0</v>
      </c>
      <c r="I267" t="n">
        <v>1</v>
      </c>
      <c r="J267" t="n">
        <v>0</v>
      </c>
      <c r="K267" t="n">
        <v>0</v>
      </c>
      <c r="L267" t="n">
        <v>0</v>
      </c>
      <c r="M267" t="n">
        <v>0</v>
      </c>
      <c r="N267" t="n">
        <v>0</v>
      </c>
      <c r="O267" t="n">
        <v>0</v>
      </c>
      <c r="P267" t="n">
        <v>0</v>
      </c>
      <c r="Q267" t="n">
        <v>1</v>
      </c>
      <c r="R267" s="2" t="inlineStr">
        <is>
          <t>Vågbandad barkbock</t>
        </is>
      </c>
      <c r="S267">
        <f>HYPERLINK("https://klasma.github.io/Logging_1882/artfynd/A 11498-2023 artfynd.xlsx", "A 11498-2023")</f>
        <v/>
      </c>
      <c r="T267">
        <f>HYPERLINK("https://klasma.github.io/Logging_1882/kartor/A 11498-2023 karta.png", "A 11498-2023")</f>
        <v/>
      </c>
      <c r="V267">
        <f>HYPERLINK("https://klasma.github.io/Logging_1882/klagomål/A 11498-2023 FSC-klagomål.docx", "A 11498-2023")</f>
        <v/>
      </c>
      <c r="W267">
        <f>HYPERLINK("https://klasma.github.io/Logging_1882/klagomålsmail/A 11498-2023 FSC-klagomål mail.docx", "A 11498-2023")</f>
        <v/>
      </c>
      <c r="X267">
        <f>HYPERLINK("https://klasma.github.io/Logging_1882/tillsyn/A 11498-2023 tillsynsbegäran.docx", "A 11498-2023")</f>
        <v/>
      </c>
      <c r="Y267">
        <f>HYPERLINK("https://klasma.github.io/Logging_1882/tillsynsmail/A 11498-2023 tillsynsbegäran mail.docx", "A 11498-2023")</f>
        <v/>
      </c>
    </row>
    <row r="268" ht="15" customHeight="1">
      <c r="A268" t="inlineStr">
        <is>
          <t>A 11528-2023</t>
        </is>
      </c>
      <c r="B268" s="1" t="n">
        <v>44993</v>
      </c>
      <c r="C268" s="1" t="n">
        <v>45222</v>
      </c>
      <c r="D268" t="inlineStr">
        <is>
          <t>ÖREBRO LÄN</t>
        </is>
      </c>
      <c r="E268" t="inlineStr">
        <is>
          <t>LEKEBERG</t>
        </is>
      </c>
      <c r="G268" t="n">
        <v>1.2</v>
      </c>
      <c r="H268" t="n">
        <v>0</v>
      </c>
      <c r="I268" t="n">
        <v>1</v>
      </c>
      <c r="J268" t="n">
        <v>0</v>
      </c>
      <c r="K268" t="n">
        <v>0</v>
      </c>
      <c r="L268" t="n">
        <v>0</v>
      </c>
      <c r="M268" t="n">
        <v>0</v>
      </c>
      <c r="N268" t="n">
        <v>0</v>
      </c>
      <c r="O268" t="n">
        <v>0</v>
      </c>
      <c r="P268" t="n">
        <v>0</v>
      </c>
      <c r="Q268" t="n">
        <v>1</v>
      </c>
      <c r="R268" s="2" t="inlineStr">
        <is>
          <t>Tibast</t>
        </is>
      </c>
      <c r="S268">
        <f>HYPERLINK("https://klasma.github.io/Logging_1814/artfynd/A 11528-2023 artfynd.xlsx", "A 11528-2023")</f>
        <v/>
      </c>
      <c r="T268">
        <f>HYPERLINK("https://klasma.github.io/Logging_1814/kartor/A 11528-2023 karta.png", "A 11528-2023")</f>
        <v/>
      </c>
      <c r="V268">
        <f>HYPERLINK("https://klasma.github.io/Logging_1814/klagomål/A 11528-2023 FSC-klagomål.docx", "A 11528-2023")</f>
        <v/>
      </c>
      <c r="W268">
        <f>HYPERLINK("https://klasma.github.io/Logging_1814/klagomålsmail/A 11528-2023 FSC-klagomål mail.docx", "A 11528-2023")</f>
        <v/>
      </c>
      <c r="X268">
        <f>HYPERLINK("https://klasma.github.io/Logging_1814/tillsyn/A 11528-2023 tillsynsbegäran.docx", "A 11528-2023")</f>
        <v/>
      </c>
      <c r="Y268">
        <f>HYPERLINK("https://klasma.github.io/Logging_1814/tillsynsmail/A 11528-2023 tillsynsbegäran mail.docx", "A 11528-2023")</f>
        <v/>
      </c>
    </row>
    <row r="269" ht="15" customHeight="1">
      <c r="A269" t="inlineStr">
        <is>
          <t>A 13183-2023</t>
        </is>
      </c>
      <c r="B269" s="1" t="n">
        <v>45002</v>
      </c>
      <c r="C269" s="1" t="n">
        <v>45222</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16677-2023</t>
        </is>
      </c>
      <c r="B270" s="1" t="n">
        <v>45030</v>
      </c>
      <c r="C270" s="1" t="n">
        <v>45222</v>
      </c>
      <c r="D270" t="inlineStr">
        <is>
          <t>ÖREBRO LÄN</t>
        </is>
      </c>
      <c r="E270" t="inlineStr">
        <is>
          <t>ASKERSUND</t>
        </is>
      </c>
      <c r="G270" t="n">
        <v>0.9</v>
      </c>
      <c r="H270" t="n">
        <v>0</v>
      </c>
      <c r="I270" t="n">
        <v>1</v>
      </c>
      <c r="J270" t="n">
        <v>0</v>
      </c>
      <c r="K270" t="n">
        <v>0</v>
      </c>
      <c r="L270" t="n">
        <v>0</v>
      </c>
      <c r="M270" t="n">
        <v>0</v>
      </c>
      <c r="N270" t="n">
        <v>0</v>
      </c>
      <c r="O270" t="n">
        <v>0</v>
      </c>
      <c r="P270" t="n">
        <v>0</v>
      </c>
      <c r="Q270" t="n">
        <v>1</v>
      </c>
      <c r="R270" s="2" t="inlineStr">
        <is>
          <t>Svart trolldruva</t>
        </is>
      </c>
      <c r="S270">
        <f>HYPERLINK("https://klasma.github.io/Logging_1882/artfynd/A 16677-2023 artfynd.xlsx", "A 16677-2023")</f>
        <v/>
      </c>
      <c r="T270">
        <f>HYPERLINK("https://klasma.github.io/Logging_1882/kartor/A 16677-2023 karta.png", "A 16677-2023")</f>
        <v/>
      </c>
      <c r="V270">
        <f>HYPERLINK("https://klasma.github.io/Logging_1882/klagomål/A 16677-2023 FSC-klagomål.docx", "A 16677-2023")</f>
        <v/>
      </c>
      <c r="W270">
        <f>HYPERLINK("https://klasma.github.io/Logging_1882/klagomålsmail/A 16677-2023 FSC-klagomål mail.docx", "A 16677-2023")</f>
        <v/>
      </c>
      <c r="X270">
        <f>HYPERLINK("https://klasma.github.io/Logging_1882/tillsyn/A 16677-2023 tillsynsbegäran.docx", "A 16677-2023")</f>
        <v/>
      </c>
      <c r="Y270">
        <f>HYPERLINK("https://klasma.github.io/Logging_1882/tillsynsmail/A 16677-2023 tillsynsbegäran mail.docx", "A 16677-2023")</f>
        <v/>
      </c>
    </row>
    <row r="271" ht="15" customHeight="1">
      <c r="A271" t="inlineStr">
        <is>
          <t>A 19939-2023</t>
        </is>
      </c>
      <c r="B271" s="1" t="n">
        <v>45054</v>
      </c>
      <c r="C271" s="1" t="n">
        <v>45222</v>
      </c>
      <c r="D271" t="inlineStr">
        <is>
          <t>ÖREBRO LÄN</t>
        </is>
      </c>
      <c r="E271" t="inlineStr">
        <is>
          <t>ÖREBRO</t>
        </is>
      </c>
      <c r="G271" t="n">
        <v>5.4</v>
      </c>
      <c r="H271" t="n">
        <v>0</v>
      </c>
      <c r="I271" t="n">
        <v>1</v>
      </c>
      <c r="J271" t="n">
        <v>0</v>
      </c>
      <c r="K271" t="n">
        <v>0</v>
      </c>
      <c r="L271" t="n">
        <v>0</v>
      </c>
      <c r="M271" t="n">
        <v>0</v>
      </c>
      <c r="N271" t="n">
        <v>0</v>
      </c>
      <c r="O271" t="n">
        <v>0</v>
      </c>
      <c r="P271" t="n">
        <v>0</v>
      </c>
      <c r="Q271" t="n">
        <v>1</v>
      </c>
      <c r="R271" s="2" t="inlineStr">
        <is>
          <t>Kambräken</t>
        </is>
      </c>
      <c r="S271">
        <f>HYPERLINK("https://klasma.github.io/Logging_1880/artfynd/A 19939-2023 artfynd.xlsx", "A 19939-2023")</f>
        <v/>
      </c>
      <c r="T271">
        <f>HYPERLINK("https://klasma.github.io/Logging_1880/kartor/A 19939-2023 karta.png", "A 19939-2023")</f>
        <v/>
      </c>
      <c r="V271">
        <f>HYPERLINK("https://klasma.github.io/Logging_1880/klagomål/A 19939-2023 FSC-klagomål.docx", "A 19939-2023")</f>
        <v/>
      </c>
      <c r="W271">
        <f>HYPERLINK("https://klasma.github.io/Logging_1880/klagomålsmail/A 19939-2023 FSC-klagomål mail.docx", "A 19939-2023")</f>
        <v/>
      </c>
      <c r="X271">
        <f>HYPERLINK("https://klasma.github.io/Logging_1880/tillsyn/A 19939-2023 tillsynsbegäran.docx", "A 19939-2023")</f>
        <v/>
      </c>
      <c r="Y271">
        <f>HYPERLINK("https://klasma.github.io/Logging_1880/tillsynsmail/A 19939-2023 tillsynsbegäran mail.docx", "A 19939-2023")</f>
        <v/>
      </c>
    </row>
    <row r="272" ht="15" customHeight="1">
      <c r="A272" t="inlineStr">
        <is>
          <t>A 20247-2023</t>
        </is>
      </c>
      <c r="B272" s="1" t="n">
        <v>45055</v>
      </c>
      <c r="C272" s="1" t="n">
        <v>45222</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22442-2023</t>
        </is>
      </c>
      <c r="B273" s="1" t="n">
        <v>45070</v>
      </c>
      <c r="C273" s="1" t="n">
        <v>45222</v>
      </c>
      <c r="D273" t="inlineStr">
        <is>
          <t>ÖREBRO LÄN</t>
        </is>
      </c>
      <c r="E273" t="inlineStr">
        <is>
          <t>NORA</t>
        </is>
      </c>
      <c r="G273" t="n">
        <v>2.4</v>
      </c>
      <c r="H273" t="n">
        <v>0</v>
      </c>
      <c r="I273" t="n">
        <v>0</v>
      </c>
      <c r="J273" t="n">
        <v>0</v>
      </c>
      <c r="K273" t="n">
        <v>0</v>
      </c>
      <c r="L273" t="n">
        <v>1</v>
      </c>
      <c r="M273" t="n">
        <v>0</v>
      </c>
      <c r="N273" t="n">
        <v>0</v>
      </c>
      <c r="O273" t="n">
        <v>1</v>
      </c>
      <c r="P273" t="n">
        <v>1</v>
      </c>
      <c r="Q273" t="n">
        <v>1</v>
      </c>
      <c r="R273" s="2" t="inlineStr">
        <is>
          <t>Ask</t>
        </is>
      </c>
      <c r="S273">
        <f>HYPERLINK("https://klasma.github.io/Logging_1884/artfynd/A 22442-2023 artfynd.xlsx", "A 22442-2023")</f>
        <v/>
      </c>
      <c r="T273">
        <f>HYPERLINK("https://klasma.github.io/Logging_1884/kartor/A 22442-2023 karta.png", "A 22442-2023")</f>
        <v/>
      </c>
      <c r="V273">
        <f>HYPERLINK("https://klasma.github.io/Logging_1884/klagomål/A 22442-2023 FSC-klagomål.docx", "A 22442-2023")</f>
        <v/>
      </c>
      <c r="W273">
        <f>HYPERLINK("https://klasma.github.io/Logging_1884/klagomålsmail/A 22442-2023 FSC-klagomål mail.docx", "A 22442-2023")</f>
        <v/>
      </c>
      <c r="X273">
        <f>HYPERLINK("https://klasma.github.io/Logging_1884/tillsyn/A 22442-2023 tillsynsbegäran.docx", "A 22442-2023")</f>
        <v/>
      </c>
      <c r="Y273">
        <f>HYPERLINK("https://klasma.github.io/Logging_1884/tillsynsmail/A 22442-2023 tillsynsbegäran mail.docx", "A 22442-2023")</f>
        <v/>
      </c>
    </row>
    <row r="274" ht="15" customHeight="1">
      <c r="A274" t="inlineStr">
        <is>
          <t>A 22447-2023</t>
        </is>
      </c>
      <c r="B274" s="1" t="n">
        <v>45070</v>
      </c>
      <c r="C274" s="1" t="n">
        <v>45222</v>
      </c>
      <c r="D274" t="inlineStr">
        <is>
          <t>ÖREBRO LÄN</t>
        </is>
      </c>
      <c r="E274" t="inlineStr">
        <is>
          <t>NORA</t>
        </is>
      </c>
      <c r="G274" t="n">
        <v>5.4</v>
      </c>
      <c r="H274" t="n">
        <v>0</v>
      </c>
      <c r="I274" t="n">
        <v>0</v>
      </c>
      <c r="J274" t="n">
        <v>0</v>
      </c>
      <c r="K274" t="n">
        <v>0</v>
      </c>
      <c r="L274" t="n">
        <v>1</v>
      </c>
      <c r="M274" t="n">
        <v>0</v>
      </c>
      <c r="N274" t="n">
        <v>0</v>
      </c>
      <c r="O274" t="n">
        <v>1</v>
      </c>
      <c r="P274" t="n">
        <v>1</v>
      </c>
      <c r="Q274" t="n">
        <v>1</v>
      </c>
      <c r="R274" s="2" t="inlineStr">
        <is>
          <t>Ask</t>
        </is>
      </c>
      <c r="S274">
        <f>HYPERLINK("https://klasma.github.io/Logging_1884/artfynd/A 22447-2023 artfynd.xlsx", "A 22447-2023")</f>
        <v/>
      </c>
      <c r="T274">
        <f>HYPERLINK("https://klasma.github.io/Logging_1884/kartor/A 22447-2023 karta.png", "A 22447-2023")</f>
        <v/>
      </c>
      <c r="V274">
        <f>HYPERLINK("https://klasma.github.io/Logging_1884/klagomål/A 22447-2023 FSC-klagomål.docx", "A 22447-2023")</f>
        <v/>
      </c>
      <c r="W274">
        <f>HYPERLINK("https://klasma.github.io/Logging_1884/klagomålsmail/A 22447-2023 FSC-klagomål mail.docx", "A 22447-2023")</f>
        <v/>
      </c>
      <c r="X274">
        <f>HYPERLINK("https://klasma.github.io/Logging_1884/tillsyn/A 22447-2023 tillsynsbegäran.docx", "A 22447-2023")</f>
        <v/>
      </c>
      <c r="Y274">
        <f>HYPERLINK("https://klasma.github.io/Logging_1884/tillsynsmail/A 22447-2023 tillsynsbegäran mail.docx", "A 22447-2023")</f>
        <v/>
      </c>
    </row>
    <row r="275" ht="15" customHeight="1">
      <c r="A275" t="inlineStr">
        <is>
          <t>A 22848-2023</t>
        </is>
      </c>
      <c r="B275" s="1" t="n">
        <v>45072</v>
      </c>
      <c r="C275" s="1" t="n">
        <v>45222</v>
      </c>
      <c r="D275" t="inlineStr">
        <is>
          <t>ÖREBRO LÄN</t>
        </is>
      </c>
      <c r="E275" t="inlineStr">
        <is>
          <t>ÖREBRO</t>
        </is>
      </c>
      <c r="G275" t="n">
        <v>3.6</v>
      </c>
      <c r="H275" t="n">
        <v>0</v>
      </c>
      <c r="I275" t="n">
        <v>1</v>
      </c>
      <c r="J275" t="n">
        <v>0</v>
      </c>
      <c r="K275" t="n">
        <v>0</v>
      </c>
      <c r="L275" t="n">
        <v>0</v>
      </c>
      <c r="M275" t="n">
        <v>0</v>
      </c>
      <c r="N275" t="n">
        <v>0</v>
      </c>
      <c r="O275" t="n">
        <v>0</v>
      </c>
      <c r="P275" t="n">
        <v>0</v>
      </c>
      <c r="Q275" t="n">
        <v>1</v>
      </c>
      <c r="R275" s="2" t="inlineStr">
        <is>
          <t>Blomkålssvamp</t>
        </is>
      </c>
      <c r="S275">
        <f>HYPERLINK("https://klasma.github.io/Logging_1880/artfynd/A 22848-2023 artfynd.xlsx", "A 22848-2023")</f>
        <v/>
      </c>
      <c r="T275">
        <f>HYPERLINK("https://klasma.github.io/Logging_1880/kartor/A 22848-2023 karta.png", "A 22848-2023")</f>
        <v/>
      </c>
      <c r="V275">
        <f>HYPERLINK("https://klasma.github.io/Logging_1880/klagomål/A 22848-2023 FSC-klagomål.docx", "A 22848-2023")</f>
        <v/>
      </c>
      <c r="W275">
        <f>HYPERLINK("https://klasma.github.io/Logging_1880/klagomålsmail/A 22848-2023 FSC-klagomål mail.docx", "A 22848-2023")</f>
        <v/>
      </c>
      <c r="X275">
        <f>HYPERLINK("https://klasma.github.io/Logging_1880/tillsyn/A 22848-2023 tillsynsbegäran.docx", "A 22848-2023")</f>
        <v/>
      </c>
      <c r="Y275">
        <f>HYPERLINK("https://klasma.github.io/Logging_1880/tillsynsmail/A 22848-2023 tillsynsbegäran mail.docx", "A 22848-2023")</f>
        <v/>
      </c>
    </row>
    <row r="276" ht="15" customHeight="1">
      <c r="A276" t="inlineStr">
        <is>
          <t>A 23153-2023</t>
        </is>
      </c>
      <c r="B276" s="1" t="n">
        <v>45075</v>
      </c>
      <c r="C276" s="1" t="n">
        <v>45222</v>
      </c>
      <c r="D276" t="inlineStr">
        <is>
          <t>ÖREBRO LÄN</t>
        </is>
      </c>
      <c r="E276" t="inlineStr">
        <is>
          <t>LINDESBERG</t>
        </is>
      </c>
      <c r="F276" t="inlineStr">
        <is>
          <t>Sveaskog</t>
        </is>
      </c>
      <c r="G276" t="n">
        <v>3.1</v>
      </c>
      <c r="H276" t="n">
        <v>0</v>
      </c>
      <c r="I276" t="n">
        <v>0</v>
      </c>
      <c r="J276" t="n">
        <v>1</v>
      </c>
      <c r="K276" t="n">
        <v>0</v>
      </c>
      <c r="L276" t="n">
        <v>0</v>
      </c>
      <c r="M276" t="n">
        <v>0</v>
      </c>
      <c r="N276" t="n">
        <v>0</v>
      </c>
      <c r="O276" t="n">
        <v>1</v>
      </c>
      <c r="P276" t="n">
        <v>0</v>
      </c>
      <c r="Q276" t="n">
        <v>1</v>
      </c>
      <c r="R276" s="2" t="inlineStr">
        <is>
          <t>Skogsklocka</t>
        </is>
      </c>
      <c r="S276">
        <f>HYPERLINK("https://klasma.github.io/Logging_1885/artfynd/A 23153-2023 artfynd.xlsx", "A 23153-2023")</f>
        <v/>
      </c>
      <c r="T276">
        <f>HYPERLINK("https://klasma.github.io/Logging_1885/kartor/A 23153-2023 karta.png", "A 23153-2023")</f>
        <v/>
      </c>
      <c r="V276">
        <f>HYPERLINK("https://klasma.github.io/Logging_1885/klagomål/A 23153-2023 FSC-klagomål.docx", "A 23153-2023")</f>
        <v/>
      </c>
      <c r="W276">
        <f>HYPERLINK("https://klasma.github.io/Logging_1885/klagomålsmail/A 23153-2023 FSC-klagomål mail.docx", "A 23153-2023")</f>
        <v/>
      </c>
      <c r="X276">
        <f>HYPERLINK("https://klasma.github.io/Logging_1885/tillsyn/A 23153-2023 tillsynsbegäran.docx", "A 23153-2023")</f>
        <v/>
      </c>
      <c r="Y276">
        <f>HYPERLINK("https://klasma.github.io/Logging_1885/tillsynsmail/A 23153-2023 tillsynsbegäran mail.docx", "A 23153-2023")</f>
        <v/>
      </c>
    </row>
    <row r="277" ht="15" customHeight="1">
      <c r="A277" t="inlineStr">
        <is>
          <t>A 23107-2023</t>
        </is>
      </c>
      <c r="B277" s="1" t="n">
        <v>45075</v>
      </c>
      <c r="C277" s="1" t="n">
        <v>45222</v>
      </c>
      <c r="D277" t="inlineStr">
        <is>
          <t>ÖREBRO LÄN</t>
        </is>
      </c>
      <c r="E277" t="inlineStr">
        <is>
          <t>LINDESBERG</t>
        </is>
      </c>
      <c r="F277" t="inlineStr">
        <is>
          <t>Sveaskog</t>
        </is>
      </c>
      <c r="G277" t="n">
        <v>1.8</v>
      </c>
      <c r="H277" t="n">
        <v>1</v>
      </c>
      <c r="I277" t="n">
        <v>0</v>
      </c>
      <c r="J277" t="n">
        <v>1</v>
      </c>
      <c r="K277" t="n">
        <v>0</v>
      </c>
      <c r="L277" t="n">
        <v>0</v>
      </c>
      <c r="M277" t="n">
        <v>0</v>
      </c>
      <c r="N277" t="n">
        <v>0</v>
      </c>
      <c r="O277" t="n">
        <v>1</v>
      </c>
      <c r="P277" t="n">
        <v>0</v>
      </c>
      <c r="Q277" t="n">
        <v>1</v>
      </c>
      <c r="R277" s="2" t="inlineStr">
        <is>
          <t>Grönsångare</t>
        </is>
      </c>
      <c r="S277">
        <f>HYPERLINK("https://klasma.github.io/Logging_1885/artfynd/A 23107-2023 artfynd.xlsx", "A 23107-2023")</f>
        <v/>
      </c>
      <c r="T277">
        <f>HYPERLINK("https://klasma.github.io/Logging_1885/kartor/A 23107-2023 karta.png", "A 23107-2023")</f>
        <v/>
      </c>
      <c r="V277">
        <f>HYPERLINK("https://klasma.github.io/Logging_1885/klagomål/A 23107-2023 FSC-klagomål.docx", "A 23107-2023")</f>
        <v/>
      </c>
      <c r="W277">
        <f>HYPERLINK("https://klasma.github.io/Logging_1885/klagomålsmail/A 23107-2023 FSC-klagomål mail.docx", "A 23107-2023")</f>
        <v/>
      </c>
      <c r="X277">
        <f>HYPERLINK("https://klasma.github.io/Logging_1885/tillsyn/A 23107-2023 tillsynsbegäran.docx", "A 23107-2023")</f>
        <v/>
      </c>
      <c r="Y277">
        <f>HYPERLINK("https://klasma.github.io/Logging_1885/tillsynsmail/A 23107-2023 tillsynsbegäran mail.docx", "A 23107-2023")</f>
        <v/>
      </c>
    </row>
    <row r="278" ht="15" customHeight="1">
      <c r="A278" t="inlineStr">
        <is>
          <t>A 23608-2023</t>
        </is>
      </c>
      <c r="B278" s="1" t="n">
        <v>45077</v>
      </c>
      <c r="C278" s="1" t="n">
        <v>45222</v>
      </c>
      <c r="D278" t="inlineStr">
        <is>
          <t>ÖREBRO LÄN</t>
        </is>
      </c>
      <c r="E278" t="inlineStr">
        <is>
          <t>ÖREBRO</t>
        </is>
      </c>
      <c r="G278" t="n">
        <v>5.8</v>
      </c>
      <c r="H278" t="n">
        <v>1</v>
      </c>
      <c r="I278" t="n">
        <v>0</v>
      </c>
      <c r="J278" t="n">
        <v>1</v>
      </c>
      <c r="K278" t="n">
        <v>0</v>
      </c>
      <c r="L278" t="n">
        <v>0</v>
      </c>
      <c r="M278" t="n">
        <v>0</v>
      </c>
      <c r="N278" t="n">
        <v>0</v>
      </c>
      <c r="O278" t="n">
        <v>1</v>
      </c>
      <c r="P278" t="n">
        <v>0</v>
      </c>
      <c r="Q278" t="n">
        <v>1</v>
      </c>
      <c r="R278" s="2" t="inlineStr">
        <is>
          <t>Havsörn</t>
        </is>
      </c>
      <c r="S278">
        <f>HYPERLINK("https://klasma.github.io/Logging_1880/artfynd/A 23608-2023 artfynd.xlsx", "A 23608-2023")</f>
        <v/>
      </c>
      <c r="T278">
        <f>HYPERLINK("https://klasma.github.io/Logging_1880/kartor/A 23608-2023 karta.png", "A 23608-2023")</f>
        <v/>
      </c>
      <c r="V278">
        <f>HYPERLINK("https://klasma.github.io/Logging_1880/klagomål/A 23608-2023 FSC-klagomål.docx", "A 23608-2023")</f>
        <v/>
      </c>
      <c r="W278">
        <f>HYPERLINK("https://klasma.github.io/Logging_1880/klagomålsmail/A 23608-2023 FSC-klagomål mail.docx", "A 23608-2023")</f>
        <v/>
      </c>
      <c r="X278">
        <f>HYPERLINK("https://klasma.github.io/Logging_1880/tillsyn/A 23608-2023 tillsynsbegäran.docx", "A 23608-2023")</f>
        <v/>
      </c>
      <c r="Y278">
        <f>HYPERLINK("https://klasma.github.io/Logging_1880/tillsynsmail/A 23608-2023 tillsynsbegäran mail.docx", "A 23608-2023")</f>
        <v/>
      </c>
    </row>
    <row r="279" ht="15" customHeight="1">
      <c r="A279" t="inlineStr">
        <is>
          <t>A 23874-2023</t>
        </is>
      </c>
      <c r="B279" s="1" t="n">
        <v>45078</v>
      </c>
      <c r="C279" s="1" t="n">
        <v>45222</v>
      </c>
      <c r="D279" t="inlineStr">
        <is>
          <t>ÖREBRO LÄN</t>
        </is>
      </c>
      <c r="E279" t="inlineStr">
        <is>
          <t>NORA</t>
        </is>
      </c>
      <c r="G279" t="n">
        <v>1.2</v>
      </c>
      <c r="H279" t="n">
        <v>0</v>
      </c>
      <c r="I279" t="n">
        <v>0</v>
      </c>
      <c r="J279" t="n">
        <v>1</v>
      </c>
      <c r="K279" t="n">
        <v>0</v>
      </c>
      <c r="L279" t="n">
        <v>0</v>
      </c>
      <c r="M279" t="n">
        <v>0</v>
      </c>
      <c r="N279" t="n">
        <v>0</v>
      </c>
      <c r="O279" t="n">
        <v>1</v>
      </c>
      <c r="P279" t="n">
        <v>0</v>
      </c>
      <c r="Q279" t="n">
        <v>1</v>
      </c>
      <c r="R279" s="2" t="inlineStr">
        <is>
          <t>Brunklöver</t>
        </is>
      </c>
      <c r="S279">
        <f>HYPERLINK("https://klasma.github.io/Logging_1884/artfynd/A 23874-2023 artfynd.xlsx", "A 23874-2023")</f>
        <v/>
      </c>
      <c r="T279">
        <f>HYPERLINK("https://klasma.github.io/Logging_1884/kartor/A 23874-2023 karta.png", "A 23874-2023")</f>
        <v/>
      </c>
      <c r="V279">
        <f>HYPERLINK("https://klasma.github.io/Logging_1884/klagomål/A 23874-2023 FSC-klagomål.docx", "A 23874-2023")</f>
        <v/>
      </c>
      <c r="W279">
        <f>HYPERLINK("https://klasma.github.io/Logging_1884/klagomålsmail/A 23874-2023 FSC-klagomål mail.docx", "A 23874-2023")</f>
        <v/>
      </c>
      <c r="X279">
        <f>HYPERLINK("https://klasma.github.io/Logging_1884/tillsyn/A 23874-2023 tillsynsbegäran.docx", "A 23874-2023")</f>
        <v/>
      </c>
      <c r="Y279">
        <f>HYPERLINK("https://klasma.github.io/Logging_1884/tillsynsmail/A 23874-2023 tillsynsbegäran mail.docx", "A 23874-2023")</f>
        <v/>
      </c>
    </row>
    <row r="280" ht="15" customHeight="1">
      <c r="A280" t="inlineStr">
        <is>
          <t>A 24357-2023</t>
        </is>
      </c>
      <c r="B280" s="1" t="n">
        <v>45082</v>
      </c>
      <c r="C280" s="1" t="n">
        <v>45222</v>
      </c>
      <c r="D280" t="inlineStr">
        <is>
          <t>ÖREBRO LÄN</t>
        </is>
      </c>
      <c r="E280" t="inlineStr">
        <is>
          <t>HÄLLEFORS</t>
        </is>
      </c>
      <c r="F280" t="inlineStr">
        <is>
          <t>Sveaskog</t>
        </is>
      </c>
      <c r="G280" t="n">
        <v>9</v>
      </c>
      <c r="H280" t="n">
        <v>1</v>
      </c>
      <c r="I280" t="n">
        <v>0</v>
      </c>
      <c r="J280" t="n">
        <v>0</v>
      </c>
      <c r="K280" t="n">
        <v>0</v>
      </c>
      <c r="L280" t="n">
        <v>0</v>
      </c>
      <c r="M280" t="n">
        <v>0</v>
      </c>
      <c r="N280" t="n">
        <v>0</v>
      </c>
      <c r="O280" t="n">
        <v>0</v>
      </c>
      <c r="P280" t="n">
        <v>0</v>
      </c>
      <c r="Q280" t="n">
        <v>1</v>
      </c>
      <c r="R280" s="2" t="inlineStr">
        <is>
          <t>Fläcknycklar</t>
        </is>
      </c>
      <c r="S280">
        <f>HYPERLINK("https://klasma.github.io/Logging_1863/artfynd/A 24357-2023 artfynd.xlsx", "A 24357-2023")</f>
        <v/>
      </c>
      <c r="T280">
        <f>HYPERLINK("https://klasma.github.io/Logging_1863/kartor/A 24357-2023 karta.png", "A 24357-2023")</f>
        <v/>
      </c>
      <c r="V280">
        <f>HYPERLINK("https://klasma.github.io/Logging_1863/klagomål/A 24357-2023 FSC-klagomål.docx", "A 24357-2023")</f>
        <v/>
      </c>
      <c r="W280">
        <f>HYPERLINK("https://klasma.github.io/Logging_1863/klagomålsmail/A 24357-2023 FSC-klagomål mail.docx", "A 24357-2023")</f>
        <v/>
      </c>
      <c r="X280">
        <f>HYPERLINK("https://klasma.github.io/Logging_1863/tillsyn/A 24357-2023 tillsynsbegäran.docx", "A 24357-2023")</f>
        <v/>
      </c>
      <c r="Y280">
        <f>HYPERLINK("https://klasma.github.io/Logging_1863/tillsynsmail/A 24357-2023 tillsynsbegäran mail.docx", "A 24357-2023")</f>
        <v/>
      </c>
    </row>
    <row r="281" ht="15" customHeight="1">
      <c r="A281" t="inlineStr">
        <is>
          <t>A 24356-2023</t>
        </is>
      </c>
      <c r="B281" s="1" t="n">
        <v>45082</v>
      </c>
      <c r="C281" s="1" t="n">
        <v>45222</v>
      </c>
      <c r="D281" t="inlineStr">
        <is>
          <t>ÖREBRO LÄN</t>
        </is>
      </c>
      <c r="E281" t="inlineStr">
        <is>
          <t>NORA</t>
        </is>
      </c>
      <c r="F281" t="inlineStr">
        <is>
          <t>Sveaskog</t>
        </is>
      </c>
      <c r="G281" t="n">
        <v>15.3</v>
      </c>
      <c r="H281" t="n">
        <v>1</v>
      </c>
      <c r="I281" t="n">
        <v>0</v>
      </c>
      <c r="J281" t="n">
        <v>0</v>
      </c>
      <c r="K281" t="n">
        <v>1</v>
      </c>
      <c r="L281" t="n">
        <v>0</v>
      </c>
      <c r="M281" t="n">
        <v>0</v>
      </c>
      <c r="N281" t="n">
        <v>0</v>
      </c>
      <c r="O281" t="n">
        <v>1</v>
      </c>
      <c r="P281" t="n">
        <v>1</v>
      </c>
      <c r="Q281" t="n">
        <v>1</v>
      </c>
      <c r="R281" s="2" t="inlineStr">
        <is>
          <t>Knärot</t>
        </is>
      </c>
      <c r="S281">
        <f>HYPERLINK("https://klasma.github.io/Logging_1884/artfynd/A 24356-2023 artfynd.xlsx", "A 24356-2023")</f>
        <v/>
      </c>
      <c r="T281">
        <f>HYPERLINK("https://klasma.github.io/Logging_1884/kartor/A 24356-2023 karta.png", "A 24356-2023")</f>
        <v/>
      </c>
      <c r="U281">
        <f>HYPERLINK("https://klasma.github.io/Logging_1884/knärot/A 24356-2023 karta knärot.png", "A 24356-2023")</f>
        <v/>
      </c>
      <c r="V281">
        <f>HYPERLINK("https://klasma.github.io/Logging_1884/klagomål/A 24356-2023 FSC-klagomål.docx", "A 24356-2023")</f>
        <v/>
      </c>
      <c r="W281">
        <f>HYPERLINK("https://klasma.github.io/Logging_1884/klagomålsmail/A 24356-2023 FSC-klagomål mail.docx", "A 24356-2023")</f>
        <v/>
      </c>
      <c r="X281">
        <f>HYPERLINK("https://klasma.github.io/Logging_1884/tillsyn/A 24356-2023 tillsynsbegäran.docx", "A 24356-2023")</f>
        <v/>
      </c>
      <c r="Y281">
        <f>HYPERLINK("https://klasma.github.io/Logging_1884/tillsynsmail/A 24356-2023 tillsynsbegäran mail.docx", "A 24356-2023")</f>
        <v/>
      </c>
    </row>
    <row r="282" ht="15" customHeight="1">
      <c r="A282" t="inlineStr">
        <is>
          <t>A 27073-2023</t>
        </is>
      </c>
      <c r="B282" s="1" t="n">
        <v>45096</v>
      </c>
      <c r="C282" s="1" t="n">
        <v>45222</v>
      </c>
      <c r="D282" t="inlineStr">
        <is>
          <t>ÖREBRO LÄN</t>
        </is>
      </c>
      <c r="E282" t="inlineStr">
        <is>
          <t>HALLSBERG</t>
        </is>
      </c>
      <c r="G282" t="n">
        <v>0.8</v>
      </c>
      <c r="H282" t="n">
        <v>0</v>
      </c>
      <c r="I282" t="n">
        <v>0</v>
      </c>
      <c r="J282" t="n">
        <v>1</v>
      </c>
      <c r="K282" t="n">
        <v>0</v>
      </c>
      <c r="L282" t="n">
        <v>0</v>
      </c>
      <c r="M282" t="n">
        <v>0</v>
      </c>
      <c r="N282" t="n">
        <v>0</v>
      </c>
      <c r="O282" t="n">
        <v>1</v>
      </c>
      <c r="P282" t="n">
        <v>0</v>
      </c>
      <c r="Q282" t="n">
        <v>1</v>
      </c>
      <c r="R282" s="2" t="inlineStr">
        <is>
          <t>Ullticka</t>
        </is>
      </c>
      <c r="S282">
        <f>HYPERLINK("https://klasma.github.io/Logging_1861/artfynd/A 27073-2023 artfynd.xlsx", "A 27073-2023")</f>
        <v/>
      </c>
      <c r="T282">
        <f>HYPERLINK("https://klasma.github.io/Logging_1861/kartor/A 27073-2023 karta.png", "A 27073-2023")</f>
        <v/>
      </c>
      <c r="V282">
        <f>HYPERLINK("https://klasma.github.io/Logging_1861/klagomål/A 27073-2023 FSC-klagomål.docx", "A 27073-2023")</f>
        <v/>
      </c>
      <c r="W282">
        <f>HYPERLINK("https://klasma.github.io/Logging_1861/klagomålsmail/A 27073-2023 FSC-klagomål mail.docx", "A 27073-2023")</f>
        <v/>
      </c>
      <c r="X282">
        <f>HYPERLINK("https://klasma.github.io/Logging_1861/tillsyn/A 27073-2023 tillsynsbegäran.docx", "A 27073-2023")</f>
        <v/>
      </c>
      <c r="Y282">
        <f>HYPERLINK("https://klasma.github.io/Logging_1861/tillsynsmail/A 27073-2023 tillsynsbegäran mail.docx", "A 27073-2023")</f>
        <v/>
      </c>
    </row>
    <row r="283" ht="15" customHeight="1">
      <c r="A283" t="inlineStr">
        <is>
          <t>A 28786-2023</t>
        </is>
      </c>
      <c r="B283" s="1" t="n">
        <v>45104</v>
      </c>
      <c r="C283" s="1" t="n">
        <v>45222</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45222</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45222</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45222</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45222</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45222</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45222</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45222</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45222</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45222</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45222</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45222</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45222</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45222</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45222</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45222</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45222</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45222</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45222</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45222</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45222</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45222</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45222</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45222</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45222</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45222</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45222</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45222</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45222</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45222</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45222</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45222</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45222</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45222</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45222</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45222</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45222</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45222</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45222</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45222</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45222</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45222</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45222</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45222</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45222</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45222</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45222</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45222</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45222</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45222</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45222</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45222</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45222</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45222</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45222</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45222</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45222</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45222</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45222</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45222</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45222</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45222</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45222</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45222</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45222</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45222</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45222</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45222</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45222</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45222</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45222</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45222</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45222</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45222</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45222</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45222</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45222</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45222</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45222</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45222</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45222</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45222</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45222</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45222</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45222</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45222</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45222</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45222</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45222</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45222</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45222</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45222</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45222</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45222</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45222</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45222</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45222</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45222</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45222</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45222</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45222</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45222</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45222</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45222</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45222</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45222</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45222</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45222</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45222</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45222</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45222</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45222</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45222</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45222</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45222</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45222</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45222</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45222</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45222</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45222</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45222</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45222</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45222</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45222</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45222</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45222</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45222</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45222</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45222</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45222</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45222</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45222</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45222</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45222</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45222</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45222</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45222</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45222</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45222</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45222</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45222</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45222</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45222</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45222</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45222</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45222</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45222</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45222</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45222</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45222</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45222</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45222</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45222</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45222</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45222</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45222</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45222</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45222</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45222</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45222</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45222</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45222</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45222</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45222</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45222</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45222</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45222</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45222</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45222</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45222</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45222</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45222</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45222</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45222</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45222</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45222</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45222</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45222</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45222</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45222</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45222</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45222</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45222</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45222</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45222</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45222</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45222</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45222</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45222</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45222</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45222</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45222</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45222</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45222</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45222</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45222</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45222</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45222</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45222</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45222</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45222</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45222</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45222</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45222</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45222</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45222</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45222</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45222</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45222</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45222</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45222</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45222</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45222</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45222</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45222</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45222</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45222</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45222</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45222</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45222</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45222</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45222</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45222</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45222</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45222</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45222</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45222</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45222</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45222</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45222</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45222</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45222</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45222</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45222</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45222</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45222</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45222</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45222</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45222</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45222</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45222</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45222</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45222</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45222</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45222</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45222</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45222</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45222</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45222</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45222</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45222</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45222</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45222</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45222</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45222</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45222</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45222</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45222</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45222</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45222</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45222</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45222</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45222</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45222</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45222</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45222</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45222</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45222</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45222</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45222</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45222</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45222</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45222</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45222</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45222</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45222</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45222</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45222</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45222</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45222</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45222</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45222</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45222</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45222</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45222</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45222</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45222</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45222</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45222</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45222</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45222</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45222</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45222</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45222</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45222</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45222</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45222</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45222</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45222</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45222</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45222</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45222</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45222</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45222</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45222</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45222</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45222</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45222</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45222</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45222</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45222</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45222</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45222</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45222</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45222</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45222</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45222</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45222</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45222</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45222</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45222</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45222</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45222</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45222</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45222</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45222</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45222</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45222</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45222</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45222</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45222</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45222</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45222</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45222</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45222</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45222</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45222</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45222</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45222</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45222</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45222</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45222</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45222</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45222</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45222</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45222</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45222</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45222</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45222</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45222</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45222</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45222</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45222</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45222</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45222</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45222</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45222</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45222</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45222</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45222</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45222</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45222</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45222</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45222</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45222</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45222</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45222</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45222</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45222</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45222</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45222</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45222</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45222</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45222</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45222</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45222</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45222</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45222</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45222</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45222</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45222</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45222</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45222</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45222</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45222</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45222</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45222</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45222</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45222</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45222</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45222</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45222</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45222</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45222</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45222</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45222</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45222</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45222</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45222</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45222</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45222</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45222</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45222</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45222</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45222</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45222</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45222</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45222</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45222</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45222</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45222</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45222</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45222</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45222</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45222</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45222</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45222</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45222</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45222</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45222</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45222</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45222</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45222</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45222</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45222</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45222</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45222</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45222</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45222</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45222</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45222</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45222</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45222</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45222</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45222</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45222</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45222</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45222</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45222</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45222</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45222</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45222</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45222</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45222</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45222</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45222</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45222</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45222</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45222</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45222</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45222</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45222</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45222</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45222</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45222</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45222</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45222</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45222</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45222</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45222</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45222</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45222</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45222</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45222</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45222</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45222</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45222</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45222</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45222</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45222</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45222</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45222</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45222</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45222</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45222</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45222</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45222</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45222</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45222</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45222</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45222</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45222</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45222</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45222</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45222</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45222</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45222</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45222</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45222</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45222</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45222</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45222</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45222</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45222</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45222</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45222</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45222</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45222</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45222</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45222</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45222</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45222</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45222</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45222</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45222</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45222</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45222</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45222</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45222</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45222</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45222</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45222</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45222</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45222</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45222</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45222</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45222</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45222</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45222</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45222</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45222</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45222</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45222</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45222</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45222</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45222</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45222</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45222</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45222</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45222</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45222</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45222</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45222</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45222</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45222</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45222</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45222</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45222</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45222</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45222</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45222</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45222</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45222</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45222</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45222</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45222</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45222</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45222</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45222</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45222</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45222</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45222</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45222</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45222</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45222</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45222</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45222</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45222</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45222</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45222</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45222</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45222</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45222</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45222</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45222</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45222</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45222</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45222</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45222</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45222</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45222</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45222</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45222</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45222</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45222</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45222</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45222</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45222</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45222</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45222</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45222</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45222</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45222</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45222</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45222</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45222</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45222</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45222</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45222</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45222</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45222</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45222</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45222</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45222</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45222</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45222</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45222</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45222</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45222</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45222</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45222</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45222</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45222</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45222</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45222</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45222</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45222</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45222</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45222</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45222</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45222</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45222</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45222</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45222</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45222</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45222</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45222</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45222</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45222</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45222</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45222</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45222</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45222</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45222</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45222</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45222</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45222</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45222</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45222</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45222</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45222</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45222</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45222</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45222</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45222</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45222</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45222</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45222</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45222</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45222</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45222</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45222</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45222</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45222</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45222</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45222</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45222</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45222</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45222</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45222</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45222</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45222</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45222</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45222</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45222</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45222</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45222</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45222</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45222</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45222</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45222</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45222</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45222</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45222</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45222</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45222</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45222</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45222</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45222</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45222</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45222</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45222</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45222</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45222</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45222</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45222</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45222</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45222</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45222</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45222</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45222</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45222</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45222</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45222</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45222</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45222</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45222</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45222</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45222</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45222</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45222</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45222</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45222</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45222</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45222</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45222</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45222</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45222</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45222</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45222</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45222</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45222</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45222</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45222</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45222</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45222</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45222</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45222</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45222</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45222</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45222</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45222</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45222</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45222</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45222</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45222</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45222</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45222</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45222</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45222</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45222</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45222</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45222</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45222</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45222</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45222</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45222</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45222</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45222</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45222</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45222</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45222</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45222</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45222</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45222</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45222</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45222</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45222</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45222</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45222</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45222</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45222</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45222</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45222</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45222</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45222</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45222</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45222</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45222</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45222</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45222</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45222</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45222</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45222</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45222</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45222</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45222</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45222</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45222</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45222</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45222</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45222</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45222</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45222</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45222</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45222</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45222</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45222</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45222</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45222</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45222</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45222</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45222</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45222</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45222</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45222</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45222</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45222</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45222</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45222</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45222</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45222</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45222</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45222</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45222</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45222</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45222</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45222</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45222</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45222</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45222</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45222</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45222</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45222</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45222</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45222</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45222</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45222</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45222</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45222</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45222</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45222</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45222</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45222</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45222</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45222</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45222</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45222</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45222</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45222</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45222</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45222</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45222</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45222</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45222</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45222</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45222</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45222</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45222</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45222</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45222</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45222</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45222</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45222</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45222</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45222</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45222</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45222</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45222</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45222</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45222</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45222</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45222</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45222</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45222</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45222</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45222</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45222</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45222</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45222</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45222</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45222</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45222</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45222</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45222</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45222</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45222</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45222</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45222</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45222</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45222</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45222</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45222</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45222</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45222</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45222</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45222</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45222</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45222</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45222</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45222</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45222</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45222</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45222</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45222</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45222</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45222</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45222</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45222</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45222</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45222</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45222</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45222</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45222</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45222</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45222</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45222</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45222</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45222</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45222</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45222</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45222</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45222</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45222</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45222</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45222</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45222</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45222</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45222</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45222</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45222</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45222</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45222</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45222</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45222</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45222</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45222</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45222</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45222</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45222</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45222</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45222</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45222</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45222</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45222</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45222</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45222</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45222</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45222</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45222</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45222</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45222</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45222</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45222</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45222</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45222</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45222</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45222</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45222</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45222</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45222</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45222</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45222</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45222</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45222</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45222</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45222</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45222</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45222</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45222</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45222</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45222</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45222</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45222</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45222</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45222</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45222</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45222</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45222</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45222</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45222</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45222</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45222</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45222</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45222</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45222</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45222</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45222</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45222</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45222</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45222</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45222</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45222</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45222</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45222</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45222</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45222</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45222</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45222</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45222</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45222</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45222</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45222</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45222</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45222</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45222</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45222</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45222</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45222</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45222</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45222</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45222</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45222</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45222</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45222</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45222</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45222</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45222</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45222</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45222</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45222</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45222</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45222</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45222</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45222</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45222</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45222</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45222</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45222</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45222</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45222</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45222</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45222</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45222</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45222</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45222</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45222</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45222</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45222</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45222</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45222</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45222</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45222</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45222</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45222</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45222</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45222</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45222</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45222</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45222</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45222</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45222</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45222</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45222</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45222</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45222</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45222</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45222</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45222</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45222</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45222</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45222</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45222</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45222</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45222</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45222</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45222</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45222</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45222</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45222</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45222</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45222</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45222</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45222</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45222</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45222</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45222</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45222</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45222</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45222</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45222</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45222</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45222</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45222</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45222</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45222</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45222</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45222</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45222</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45222</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45222</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45222</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45222</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45222</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45222</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45222</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45222</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45222</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45222</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45222</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45222</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45222</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45222</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45222</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45222</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45222</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45222</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45222</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45222</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45222</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45222</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45222</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45222</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45222</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45222</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45222</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45222</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45222</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45222</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45222</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45222</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45222</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45222</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45222</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45222</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45222</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45222</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45222</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45222</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45222</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45222</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45222</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45222</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45222</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45222</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45222</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45222</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45222</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45222</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45222</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45222</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45222</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45222</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45222</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45222</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45222</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45222</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45222</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45222</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45222</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45222</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45222</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45222</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45222</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45222</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45222</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45222</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45222</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45222</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45222</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45222</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45222</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45222</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45222</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45222</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45222</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45222</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45222</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45222</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45222</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45222</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45222</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45222</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45222</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45222</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45222</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45222</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45222</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45222</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45222</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45222</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45222</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45222</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45222</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45222</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45222</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45222</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45222</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45222</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45222</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45222</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45222</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45222</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45222</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45222</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45222</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45222</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45222</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45222</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45222</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45222</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45222</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45222</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45222</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45222</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45222</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45222</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45222</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45222</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45222</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45222</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45222</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45222</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45222</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45222</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45222</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45222</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45222</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45222</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45222</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45222</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45222</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45222</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45222</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45222</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45222</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45222</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45222</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45222</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45222</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45222</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45222</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45222</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45222</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45222</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45222</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45222</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45222</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45222</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45222</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45222</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45222</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45222</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45222</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45222</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45222</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45222</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45222</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45222</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45222</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45222</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45222</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45222</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45222</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45222</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45222</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45222</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45222</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45222</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45222</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45222</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45222</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45222</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45222</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45222</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45222</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45222</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45222</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45222</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45222</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45222</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45222</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45222</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45222</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45222</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45222</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45222</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45222</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45222</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45222</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45222</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45222</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45222</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45222</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45222</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45222</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45222</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45222</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45222</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45222</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45222</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45222</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45222</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45222</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45222</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45222</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45222</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45222</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45222</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45222</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45222</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45222</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45222</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45222</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45222</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45222</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45222</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45222</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45222</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45222</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45222</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45222</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45222</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45222</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45222</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45222</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45222</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45222</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45222</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45222</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45222</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45222</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45222</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45222</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45222</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45222</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45222</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45222</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45222</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45222</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45222</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45222</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45222</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45222</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45222</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45222</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45222</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45222</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45222</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45222</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45222</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45222</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45222</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45222</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45222</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45222</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45222</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45222</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45222</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45222</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45222</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45222</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45222</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45222</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45222</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45222</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45222</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45222</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45222</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45222</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45222</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45222</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45222</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45222</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45222</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45222</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45222</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45222</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45222</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45222</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45222</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45222</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45222</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45222</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45222</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45222</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45222</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45222</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45222</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45222</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45222</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45222</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45222</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45222</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45222</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45222</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45222</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45222</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45222</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45222</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45222</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45222</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45222</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45222</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45222</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45222</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45222</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45222</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45222</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45222</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45222</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45222</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45222</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45222</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45222</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45222</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45222</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45222</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45222</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45222</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45222</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45222</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45222</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45222</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45222</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45222</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45222</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45222</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45222</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45222</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45222</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45222</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45222</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45222</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45222</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45222</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45222</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45222</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45222</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45222</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45222</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45222</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45222</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45222</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45222</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45222</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45222</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45222</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45222</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45222</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45222</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45222</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45222</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45222</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45222</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45222</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45222</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45222</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45222</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45222</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45222</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45222</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45222</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45222</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45222</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45222</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45222</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45222</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45222</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45222</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45222</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45222</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45222</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45222</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45222</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45222</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45222</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45222</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45222</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45222</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45222</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45222</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45222</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45222</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45222</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45222</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45222</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45222</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45222</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45222</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45222</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45222</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45222</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45222</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45222</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45222</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45222</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45222</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45222</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45222</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45222</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45222</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45222</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45222</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45222</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45222</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45222</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45222</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45222</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45222</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45222</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45222</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45222</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45222</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45222</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45222</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45222</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45222</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45222</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45222</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45222</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45222</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45222</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45222</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45222</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45222</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45222</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45222</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45222</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45222</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45222</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45222</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45222</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45222</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45222</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45222</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45222</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45222</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45222</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45222</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45222</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45222</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45222</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45222</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45222</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45222</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45222</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45222</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45222</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45222</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45222</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45222</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45222</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45222</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45222</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45222</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45222</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45222</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45222</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45222</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45222</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45222</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45222</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45222</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45222</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45222</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45222</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45222</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45222</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45222</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45222</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45222</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45222</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45222</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45222</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45222</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45222</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45222</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45222</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45222</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45222</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45222</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45222</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45222</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45222</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45222</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45222</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45222</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45222</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45222</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45222</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45222</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45222</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45222</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45222</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45222</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45222</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45222</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45222</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45222</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45222</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45222</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45222</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45222</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45222</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45222</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45222</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45222</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45222</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45222</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45222</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45222</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45222</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45222</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45222</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45222</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45222</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45222</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45222</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45222</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45222</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45222</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45222</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45222</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45222</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45222</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45222</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45222</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45222</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45222</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45222</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45222</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45222</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45222</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45222</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45222</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45222</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45222</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45222</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45222</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45222</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45222</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45222</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45222</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45222</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45222</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45222</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45222</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45222</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45222</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45222</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45222</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45222</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45222</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45222</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45222</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45222</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45222</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45222</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45222</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45222</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45222</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45222</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45222</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45222</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45222</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45222</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45222</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45222</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45222</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45222</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45222</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45222</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45222</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45222</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45222</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45222</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45222</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45222</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45222</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45222</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45222</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45222</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45222</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45222</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45222</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45222</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45222</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45222</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45222</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45222</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45222</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45222</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45222</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45222</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45222</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45222</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45222</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45222</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45222</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45222</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45222</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45222</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45222</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45222</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45222</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45222</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45222</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45222</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45222</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45222</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45222</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45222</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45222</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45222</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45222</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45222</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45222</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45222</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45222</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45222</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45222</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45222</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45222</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45222</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45222</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45222</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45222</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45222</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45222</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45222</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45222</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45222</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45222</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45222</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45222</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45222</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45222</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45222</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45222</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45222</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45222</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45222</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45222</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45222</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45222</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45222</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45222</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45222</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45222</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45222</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45222</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45222</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45222</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45222</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45222</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45222</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45222</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45222</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45222</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45222</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45222</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45222</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45222</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45222</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45222</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45222</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45222</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45222</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45222</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45222</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45222</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45222</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45222</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45222</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45222</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45222</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45222</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45222</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45222</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45222</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45222</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45222</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45222</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45222</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45222</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45222</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45222</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45222</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45222</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45222</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45222</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45222</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45222</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45222</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45222</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45222</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45222</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45222</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45222</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45222</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45222</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45222</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45222</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45222</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45222</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45222</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45222</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45222</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45222</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45222</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45222</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45222</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45222</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45222</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45222</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45222</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45222</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45222</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45222</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45222</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45222</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45222</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45222</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45222</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45222</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45222</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45222</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45222</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45222</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45222</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45222</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45222</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45222</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45222</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45222</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45222</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45222</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45222</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45222</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45222</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45222</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45222</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45222</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45222</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45222</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45222</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45222</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45222</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45222</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45222</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45222</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45222</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45222</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45222</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45222</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45222</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45222</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45222</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45222</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45222</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45222</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45222</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45222</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45222</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45222</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45222</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45222</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45222</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45222</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45222</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45222</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45222</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45222</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45222</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45222</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45222</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45222</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45222</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45222</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45222</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45222</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45222</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45222</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45222</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45222</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45222</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45222</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45222</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45222</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45222</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45222</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45222</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45222</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45222</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45222</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45222</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45222</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45222</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45222</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45222</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45222</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45222</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45222</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45222</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45222</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45222</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45222</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45222</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45222</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45222</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45222</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45222</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45222</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45222</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45222</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45222</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45222</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45222</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45222</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45222</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45222</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45222</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45222</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45222</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45222</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45222</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45222</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45222</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45222</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45222</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45222</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45222</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45222</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45222</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45222</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45222</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45222</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45222</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45222</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45222</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45222</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45222</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45222</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45222</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45222</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45222</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45222</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45222</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45222</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45222</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45222</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45222</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45222</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45222</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45222</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45222</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45222</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45222</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45222</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45222</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45222</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45222</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45222</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45222</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45222</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45222</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45222</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45222</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45222</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45222</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45222</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45222</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45222</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45222</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45222</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45222</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45222</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45222</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45222</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45222</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45222</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45222</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45222</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45222</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45222</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45222</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45222</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45222</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45222</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45222</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45222</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45222</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45222</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45222</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45222</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45222</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45222</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45222</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45222</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45222</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45222</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45222</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45222</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45222</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45222</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45222</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45222</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45222</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45222</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45222</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45222</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45222</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45222</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45222</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45222</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45222</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45222</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45222</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45222</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45222</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45222</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45222</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45222</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45222</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45222</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45222</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45222</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45222</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45222</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45222</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45222</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45222</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45222</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45222</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45222</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45222</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45222</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45222</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45222</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45222</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45222</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45222</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45222</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45222</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45222</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45222</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45222</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45222</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45222</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45222</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45222</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45222</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45222</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45222</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45222</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45222</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45222</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45222</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45222</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45222</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45222</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45222</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45222</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45222</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45222</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45222</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45222</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45222</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45222</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45222</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45222</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45222</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45222</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45222</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45222</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45222</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45222</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45222</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45222</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45222</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45222</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45222</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45222</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45222</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45222</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45222</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45222</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45222</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45222</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45222</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45222</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45222</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45222</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45222</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45222</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45222</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45222</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45222</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45222</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45222</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45222</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45222</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45222</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45222</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45222</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45222</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45222</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45222</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45222</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45222</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45222</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45222</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45222</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45222</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45222</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45222</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45222</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45222</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45222</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45222</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45222</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45222</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45222</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45222</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45222</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45222</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45222</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45222</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45222</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45222</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45222</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45222</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45222</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45222</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45222</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45222</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45222</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45222</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45222</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45222</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45222</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45222</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45222</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45222</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45222</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45222</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45222</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45222</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45222</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45222</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45222</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45222</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45222</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45222</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45222</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45222</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45222</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45222</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45222</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45222</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45222</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45222</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45222</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45222</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45222</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45222</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45222</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45222</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45222</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45222</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45222</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45222</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45222</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45222</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45222</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45222</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45222</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45222</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45222</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45222</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45222</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45222</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45222</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45222</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45222</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45222</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45222</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45222</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45222</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45222</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45222</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45222</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45222</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45222</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45222</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45222</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45222</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45222</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45222</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45222</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45222</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45222</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45222</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45222</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45222</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45222</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45222</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45222</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45222</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45222</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45222</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45222</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45222</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45222</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45222</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45222</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45222</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45222</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45222</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45222</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45222</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45222</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45222</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45222</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45222</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45222</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45222</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45222</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45222</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45222</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45222</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45222</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45222</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45222</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45222</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45222</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45222</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45222</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45222</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45222</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45222</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45222</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45222</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45222</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45222</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45222</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45222</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45222</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45222</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45222</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45222</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45222</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45222</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45222</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45222</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45222</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45222</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45222</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45222</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45222</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45222</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45222</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45222</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45222</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45222</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45222</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45222</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45222</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45222</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45222</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45222</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45222</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45222</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45222</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45222</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45222</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45222</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45222</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45222</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45222</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45222</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45222</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45222</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45222</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45222</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45222</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45222</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45222</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45222</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45222</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45222</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45222</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45222</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45222</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45222</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45222</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45222</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45222</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45222</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45222</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45222</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45222</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45222</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45222</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45222</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45222</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45222</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45222</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45222</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45222</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45222</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45222</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45222</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45222</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45222</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45222</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45222</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45222</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45222</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45222</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45222</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45222</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45222</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45222</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45222</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45222</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45222</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45222</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45222</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45222</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45222</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45222</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45222</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45222</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45222</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45222</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45222</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45222</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45222</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45222</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45222</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45222</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45222</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45222</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45222</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45222</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45222</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45222</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45222</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45222</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45222</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45222</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45222</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45222</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45222</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45222</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45222</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45222</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45222</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45222</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45222</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45222</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45222</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45222</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45222</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45222</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45222</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45222</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45222</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45222</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45222</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45222</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45222</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45222</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45222</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45222</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45222</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45222</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45222</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45222</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45222</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45222</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45222</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45222</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45222</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45222</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45222</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45222</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45222</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45222</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45222</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45222</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45222</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45222</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45222</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45222</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45222</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45222</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45222</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45222</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45222</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45222</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45222</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45222</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45222</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45222</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45222</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45222</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45222</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45222</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45222</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45222</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45222</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45222</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45222</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45222</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45222</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45222</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45222</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45222</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45222</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45222</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45222</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45222</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45222</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45222</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45222</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45222</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45222</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45222</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45222</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45222</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45222</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45222</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45222</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45222</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45222</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45222</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45222</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45222</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45222</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45222</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45222</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45222</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45222</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45222</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45222</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45222</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45222</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45222</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45222</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45222</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45222</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45222</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45222</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45222</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45222</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45222</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45222</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45222</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45222</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45222</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45222</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45222</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45222</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45222</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45222</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45222</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45222</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45222</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45222</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45222</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45222</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45222</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45222</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45222</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45222</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45222</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45222</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45222</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45222</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45222</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45222</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45222</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45222</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45222</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45222</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45222</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45222</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45222</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45222</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45222</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45222</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45222</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45222</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45222</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45222</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45222</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45222</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45222</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45222</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45222</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45222</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45222</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45222</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45222</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45222</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45222</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45222</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45222</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45222</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45222</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45222</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45222</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45222</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45222</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45222</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45222</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45222</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45222</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45222</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45222</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45222</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45222</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45222</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45222</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45222</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45222</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45222</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45222</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45222</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45222</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45222</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45222</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45222</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45222</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45222</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45222</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45222</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45222</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45222</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45222</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45222</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45222</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45222</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45222</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45222</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45222</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45222</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45222</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45222</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45222</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45222</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45222</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45222</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45222</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45222</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45222</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45222</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45222</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45222</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45222</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45222</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45222</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45222</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45222</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45222</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45222</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45222</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45222</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45222</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45222</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45222</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45222</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45222</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45222</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45222</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45222</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45222</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45222</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45222</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45222</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45222</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45222</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45222</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45222</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45222</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45222</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45222</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45222</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45222</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45222</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45222</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45222</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45222</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45222</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45222</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45222</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45222</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45222</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45222</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45222</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45222</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45222</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45222</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45222</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45222</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45222</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45222</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45222</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45222</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45222</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45222</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45222</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45222</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45222</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45222</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45222</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45222</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45222</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45222</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45222</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45222</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45222</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45222</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45222</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45222</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45222</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45222</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45222</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45222</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45222</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45222</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45222</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45222</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45222</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45222</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45222</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45222</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45222</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45222</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45222</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45222</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45222</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45222</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45222</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45222</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45222</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45222</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45222</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45222</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45222</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45222</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45222</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45222</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45222</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45222</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45222</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45222</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45222</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45222</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45222</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45222</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45222</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45222</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45222</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45222</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45222</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45222</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45222</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45222</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45222</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45222</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45222</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45222</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45222</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45222</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45222</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45222</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45222</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45222</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45222</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45222</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45222</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45222</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45222</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45222</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45222</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45222</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45222</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45222</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45222</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45222</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45222</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45222</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45222</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45222</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45222</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45222</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45222</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45222</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45222</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45222</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45222</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45222</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45222</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45222</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45222</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45222</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45222</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45222</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45222</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45222</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45222</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45222</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45222</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45222</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45222</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45222</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45222</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45222</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45222</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45222</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45222</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45222</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45222</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45222</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45222</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45222</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45222</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45222</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45222</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45222</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45222</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45222</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45222</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45222</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45222</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45222</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45222</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45222</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45222</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45222</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45222</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45222</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45222</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45222</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45222</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45222</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45222</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45222</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45222</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45222</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45222</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45222</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45222</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45222</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45222</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45222</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45222</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45222</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45222</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45222</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45222</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45222</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45222</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45222</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45222</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45222</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45222</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45222</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45222</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45222</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45222</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45222</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45222</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45222</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45222</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45222</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45222</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45222</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45222</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45222</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45222</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45222</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45222</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45222</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45222</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45222</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45222</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45222</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45222</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45222</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45222</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45222</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45222</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45222</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45222</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45222</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45222</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45222</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45222</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45222</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45222</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45222</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45222</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45222</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45222</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45222</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45222</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45222</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45222</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45222</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45222</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45222</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45222</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45222</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45222</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45222</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45222</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45222</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45222</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45222</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45222</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45222</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45222</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45222</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45222</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45222</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45222</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45222</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45222</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45222</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45222</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45222</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45222</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45222</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45222</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45222</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45222</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45222</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45222</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45222</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45222</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45222</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45222</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45222</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45222</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45222</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45222</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45222</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45222</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45222</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45222</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45222</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45222</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45222</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45222</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45222</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45222</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45222</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45222</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45222</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45222</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45222</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45222</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45222</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45222</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45222</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45222</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45222</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45222</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45222</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45222</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45222</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45222</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45222</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45222</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45222</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45222</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45222</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45222</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45222</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45222</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45222</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45222</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45222</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45222</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45222</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45222</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45222</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45222</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45222</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45222</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45222</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45222</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45222</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45222</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45222</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45222</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45222</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45222</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45222</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45222</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45222</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45222</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45222</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45222</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45222</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45222</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45222</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45222</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45222</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45222</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45222</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45222</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45222</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45222</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45222</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45222</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45222</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45222</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45222</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45222</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45222</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45222</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45222</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45222</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45222</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45222</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45222</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45222</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45222</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45222</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45222</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45222</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45222</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45222</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45222</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45222</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45222</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45222</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45222</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45222</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45222</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45222</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45222</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45222</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45222</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45222</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45222</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45222</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45222</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45222</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45222</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45222</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45222</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45222</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45222</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45222</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45222</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45222</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45222</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45222</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45222</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45222</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45222</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45222</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45222</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45222</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45222</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45222</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45222</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45222</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45222</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45222</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45222</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45222</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45222</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45222</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45222</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45222</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45222</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45222</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45222</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45222</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45222</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45222</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45222</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45222</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45222</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45222</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45222</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45222</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45222</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45222</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45222</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45222</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45222</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45222</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45222</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45222</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45222</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45222</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45222</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45222</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45222</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45222</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45222</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45222</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45222</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45222</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45222</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45222</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45222</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45222</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45222</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45222</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45222</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45222</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45222</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45222</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45222</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45222</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45222</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45222</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45222</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45222</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45222</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45222</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45222</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45222</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45222</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45222</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45222</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45222</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45222</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45222</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45222</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45222</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45222</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45222</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45222</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45222</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45222</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45222</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45222</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45222</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45222</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45222</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45222</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45222</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45222</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45222</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45222</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45222</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45222</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45222</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45222</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45222</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45222</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45222</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45222</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45222</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45222</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45222</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45222</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45222</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45222</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45222</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45222</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45222</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45222</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45222</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45222</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45222</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45222</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45222</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45222</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45222</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45222</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45222</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45222</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45222</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45222</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45222</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45222</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45222</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45222</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45222</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45222</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45222</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45222</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45222</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45222</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45222</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45222</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45222</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45222</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45222</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45222</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45222</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45222</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45222</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45222</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45222</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45222</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45222</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45222</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45222</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45222</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45222</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45222</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45222</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45222</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45222</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45222</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45222</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45222</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45222</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45222</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45222</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45222</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45222</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45222</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45222</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45222</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45222</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45222</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45222</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45222</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45222</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45222</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45222</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45222</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45222</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45222</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45222</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45222</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45222</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45222</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45222</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45222</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45222</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45222</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45222</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45222</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45222</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45222</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45222</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45222</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45222</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45222</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45222</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45222</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45222</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45222</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45222</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45222</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45222</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45222</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45222</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45222</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45222</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45222</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45222</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45222</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45222</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45222</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45222</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45222</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45222</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45222</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45222</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45222</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45222</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45222</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45222</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45222</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45222</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45222</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45222</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45222</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45222</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45222</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45222</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45222</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45222</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45222</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45222</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45222</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45222</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45222</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45222</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45222</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45222</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45222</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45222</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45222</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45222</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45222</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45222</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45222</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45222</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45222</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45222</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45222</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45222</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45222</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45222</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45222</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45222</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45222</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45222</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45222</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45222</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45222</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45222</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45222</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45222</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45222</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45222</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45222</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45222</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45222</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45222</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45222</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45222</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45222</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45222</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45222</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45222</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45222</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45222</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45222</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45222</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45222</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45222</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45222</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45222</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45222</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45222</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45222</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45222</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45222</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45222</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45222</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45222</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45222</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45222</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45222</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45222</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45222</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45222</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45222</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45222</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45222</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45222</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45222</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45222</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45222</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45222</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45222</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45222</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45222</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45222</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45222</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45222</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45222</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45222</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45222</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45222</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45222</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45222</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45222</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45222</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45222</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45222</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45222</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45222</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45222</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45222</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45222</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45222</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45222</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45222</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45222</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45222</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45222</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45222</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45222</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45222</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45222</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45222</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45222</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45222</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45222</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45222</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45222</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45222</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45222</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45222</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45222</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45222</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45222</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45222</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45222</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45222</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45222</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45222</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45222</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45222</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45222</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45222</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45222</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45222</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45222</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45222</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45222</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45222</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45222</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45222</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45222</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45222</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45222</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45222</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45222</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45222</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45222</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45222</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45222</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45222</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45222</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45222</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45222</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45222</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45222</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45222</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45222</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45222</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45222</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45222</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45222</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45222</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45222</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45222</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45222</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45222</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45222</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45222</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45222</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45222</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45222</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45222</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45222</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45222</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45222</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45222</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45222</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45222</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45222</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45222</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45222</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45222</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45222</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45222</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45222</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45222</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45222</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45222</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45222</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45222</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45222</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45222</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45222</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45222</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45222</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45222</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45222</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45222</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45222</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45222</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45222</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45222</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45222</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45222</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45222</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45222</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45222</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45222</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45222</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45222</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45222</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45222</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45222</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45222</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45222</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45222</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45222</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45222</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45222</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45222</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45222</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45222</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45222</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45222</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45222</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45222</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45222</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45222</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45222</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45222</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45222</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45222</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45222</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45222</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45222</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45222</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45222</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45222</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45222</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45222</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45222</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45222</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45222</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45222</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45222</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45222</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45222</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45222</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45222</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45222</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45222</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45222</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45222</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45222</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45222</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45222</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45222</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45222</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45222</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45222</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45222</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45222</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45222</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45222</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45222</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45222</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45222</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45222</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45222</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45222</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45222</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45222</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45222</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45222</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45222</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45222</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45222</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45222</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45222</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45222</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45222</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45222</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45222</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45222</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45222</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45222</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45222</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45222</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45222</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45222</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45222</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45222</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45222</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45222</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45222</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45222</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45222</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45222</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45222</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45222</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45222</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45222</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45222</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45222</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45222</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45222</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45222</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45222</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45222</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45222</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45222</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45222</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45222</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45222</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45222</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45222</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45222</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45222</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45222</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45222</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45222</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45222</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45222</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45222</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45222</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45222</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45222</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45222</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45222</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45222</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45222</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45222</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45222</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45222</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45222</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45222</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45222</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45222</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45222</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45222</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45222</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45222</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45222</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45222</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45222</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45222</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45222</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45222</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45222</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45222</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45222</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45222</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45222</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45222</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45222</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45222</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45222</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45222</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45222</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45222</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45222</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45222</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45222</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45222</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45222</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45222</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45222</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45222</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45222</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45222</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45222</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45222</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45222</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45222</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45222</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45222</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45222</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45222</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45222</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45222</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45222</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45222</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45222</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45222</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45222</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45222</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45222</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45222</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45222</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45222</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45222</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45222</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45222</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45222</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45222</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45222</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45222</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45222</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45222</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45222</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45222</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45222</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45222</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45222</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45222</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45222</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45222</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45222</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45222</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45222</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45222</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45222</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45222</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45222</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45222</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45222</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45222</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45222</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45222</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45222</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45222</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45222</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45222</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45222</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45222</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45222</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45222</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45222</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45222</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45222</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45222</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45222</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45222</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45222</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45222</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45222</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45222</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45222</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45222</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45222</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45222</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45222</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45222</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45222</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45222</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45222</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45222</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45222</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45222</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45222</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45222</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45222</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45222</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45222</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45222</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45222</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45222</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45222</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45222</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45222</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45222</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45222</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45222</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45222</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45222</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45222</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45222</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45222</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45222</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45222</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45222</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45222</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45222</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45222</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45222</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45222</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45222</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45222</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45222</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45222</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45222</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45222</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45222</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45222</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45222</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45222</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45222</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45222</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45222</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45222</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45222</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45222</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45222</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45222</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45222</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45222</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45222</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45222</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45222</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45222</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45222</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45222</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45222</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45222</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45222</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45222</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45222</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45222</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45222</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45222</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45222</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45222</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45222</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45222</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45222</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45222</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45222</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45222</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45222</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45222</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45222</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45222</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45222</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45222</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45222</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45222</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45222</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45222</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45222</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45222</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45222</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45222</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45222</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45222</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45222</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45222</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45222</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45222</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45222</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45222</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45222</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45222</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45222</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45222</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45222</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45222</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45222</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45222</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45222</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45222</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45222</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45222</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45222</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45222</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45222</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45222</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45222</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45222</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45222</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45222</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45222</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45222</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45222</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45222</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45222</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45222</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45222</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45222</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45222</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45222</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45222</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45222</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45222</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45222</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45222</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45222</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45222</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45222</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45222</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45222</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45222</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45222</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45222</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45222</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45222</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45222</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45222</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45222</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45222</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45222</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45222</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45222</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45222</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45222</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45222</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45222</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45222</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45222</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45222</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45222</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45222</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45222</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45222</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45222</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45222</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45222</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45222</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45222</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45222</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45222</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45222</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45222</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45222</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45222</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45222</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45222</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45222</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45222</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45222</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45222</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45222</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45222</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45222</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45222</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45222</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45222</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45222</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45222</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45222</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45222</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45222</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45222</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45222</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45222</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45222</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45222</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45222</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45222</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45222</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45222</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45222</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45222</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45222</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45222</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45222</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45222</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2023-10-23T05:58:47Z</dcterms:created>
  <dcterms:modified xmlns:dcterms="http://purl.org/dc/terms/" xmlns:xsi="http://www.w3.org/2001/XMLSchema-instance" xsi:type="dcterms:W3CDTF">2023-10-23T05:58:48Z</dcterms:modified>
</cp:coreProperties>
</file>