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14216-2021</t>
        </is>
      </c>
      <c r="B2" s="1" t="n">
        <v>44278</v>
      </c>
      <c r="C2" s="1" t="n">
        <v>45211</v>
      </c>
      <c r="D2" t="inlineStr">
        <is>
          <t>ÖSTERGÖTLANDS LÄN</t>
        </is>
      </c>
      <c r="E2" t="inlineStr">
        <is>
          <t>FINSPÅNG</t>
        </is>
      </c>
      <c r="G2" t="n">
        <v>15.9</v>
      </c>
      <c r="H2" t="n">
        <v>8</v>
      </c>
      <c r="I2" t="n">
        <v>9</v>
      </c>
      <c r="J2" t="n">
        <v>7</v>
      </c>
      <c r="K2" t="n">
        <v>2</v>
      </c>
      <c r="L2" t="n">
        <v>0</v>
      </c>
      <c r="M2" t="n">
        <v>0</v>
      </c>
      <c r="N2" t="n">
        <v>0</v>
      </c>
      <c r="O2" t="n">
        <v>9</v>
      </c>
      <c r="P2" t="n">
        <v>2</v>
      </c>
      <c r="Q2" t="n">
        <v>23</v>
      </c>
      <c r="R2" s="2" t="inlineStr">
        <is>
          <t>Hasselsnok
Sandödla
Kandelabersvamp
Koralltaggsvamp
Mindre blåvinge
Sommarfibbla
Spillkråka
Svinrot
Tallticka
Barkticka
Guldkremla
Kantarellvaxskivling
Maskfingersvamp
Spröd vaxskivling
Svart trolldruva
Tibast
Ängsfingersvamp
Ängsvaxskivling
Kopparödla
Skogsödla
Vanlig padda
Blåsippa
Gullviva</t>
        </is>
      </c>
      <c r="S2">
        <f>HYPERLINK("https://klasma.github.io/Logging_0562/artfynd/A 14216-2021.xlsx", "A 14216-2021")</f>
        <v/>
      </c>
      <c r="T2">
        <f>HYPERLINK("https://klasma.github.io/Logging_0562/kartor/A 14216-2021.png", "A 14216-2021")</f>
        <v/>
      </c>
      <c r="V2">
        <f>HYPERLINK("https://klasma.github.io/Logging_0562/klagomål/A 14216-2021.docx", "A 14216-2021")</f>
        <v/>
      </c>
      <c r="W2">
        <f>HYPERLINK("https://klasma.github.io/Logging_0562/klagomålsmail/A 14216-2021.docx", "A 14216-2021")</f>
        <v/>
      </c>
      <c r="X2">
        <f>HYPERLINK("https://klasma.github.io/Logging_0562/tillsyn/A 14216-2021.docx", "A 14216-2021")</f>
        <v/>
      </c>
      <c r="Y2">
        <f>HYPERLINK("https://klasma.github.io/Logging_0562/tillsynsmail/A 14216-2021.docx", "A 14216-2021")</f>
        <v/>
      </c>
    </row>
    <row r="3" ht="15" customHeight="1">
      <c r="A3" t="inlineStr">
        <is>
          <t>A 40360-2018</t>
        </is>
      </c>
      <c r="B3" s="1" t="n">
        <v>43345</v>
      </c>
      <c r="C3" s="1" t="n">
        <v>45211</v>
      </c>
      <c r="D3" t="inlineStr">
        <is>
          <t>ÖSTERGÖTLANDS LÄN</t>
        </is>
      </c>
      <c r="E3" t="inlineStr">
        <is>
          <t>KINDA</t>
        </is>
      </c>
      <c r="G3" t="n">
        <v>5.6</v>
      </c>
      <c r="H3" t="n">
        <v>2</v>
      </c>
      <c r="I3" t="n">
        <v>12</v>
      </c>
      <c r="J3" t="n">
        <v>5</v>
      </c>
      <c r="K3" t="n">
        <v>4</v>
      </c>
      <c r="L3" t="n">
        <v>0</v>
      </c>
      <c r="M3" t="n">
        <v>0</v>
      </c>
      <c r="N3" t="n">
        <v>0</v>
      </c>
      <c r="O3" t="n">
        <v>9</v>
      </c>
      <c r="P3" t="n">
        <v>4</v>
      </c>
      <c r="Q3" t="n">
        <v>22</v>
      </c>
      <c r="R3" s="2" t="inlineStr">
        <is>
          <t>Knärot
Liten blekspik
Liten hornflikmossa
Rynkskinn
Dvärgbägarlav
Tallticka
Ullticka
Vedskivlav
Vedtrappmossa
Dropptaggsvamp
Fjällig taggsvamp s.str.
Flagellkvastmossa
Granbarkgnagare
Grovticka
Grönpyrola
Gulnål
Kornig nållav
Kornknutmossa
Skarp dropptaggsvamp
Sotlav
Stubbspretmossa
Blåsippa</t>
        </is>
      </c>
      <c r="S3">
        <f>HYPERLINK("https://klasma.github.io/Logging_0513/artfynd/A 40360-2018.xlsx", "A 40360-2018")</f>
        <v/>
      </c>
      <c r="T3">
        <f>HYPERLINK("https://klasma.github.io/Logging_0513/kartor/A 40360-2018.png", "A 40360-2018")</f>
        <v/>
      </c>
      <c r="U3">
        <f>HYPERLINK("https://klasma.github.io/Logging_0513/knärot/A 40360-2018.png", "A 40360-2018")</f>
        <v/>
      </c>
      <c r="V3">
        <f>HYPERLINK("https://klasma.github.io/Logging_0513/klagomål/A 40360-2018.docx", "A 40360-2018")</f>
        <v/>
      </c>
      <c r="W3">
        <f>HYPERLINK("https://klasma.github.io/Logging_0513/klagomålsmail/A 40360-2018.docx", "A 40360-2018")</f>
        <v/>
      </c>
      <c r="X3">
        <f>HYPERLINK("https://klasma.github.io/Logging_0513/tillsyn/A 40360-2018.docx", "A 40360-2018")</f>
        <v/>
      </c>
      <c r="Y3">
        <f>HYPERLINK("https://klasma.github.io/Logging_0513/tillsynsmail/A 40360-2018.docx", "A 40360-2018")</f>
        <v/>
      </c>
    </row>
    <row r="4" ht="15" customHeight="1">
      <c r="A4" t="inlineStr">
        <is>
          <t>A 41451-2022</t>
        </is>
      </c>
      <c r="B4" s="1" t="n">
        <v>44826</v>
      </c>
      <c r="C4" s="1" t="n">
        <v>45211</v>
      </c>
      <c r="D4" t="inlineStr">
        <is>
          <t>ÖSTERGÖTLANDS LÄN</t>
        </is>
      </c>
      <c r="E4" t="inlineStr">
        <is>
          <t>KINDA</t>
        </is>
      </c>
      <c r="G4" t="n">
        <v>2.5</v>
      </c>
      <c r="H4" t="n">
        <v>1</v>
      </c>
      <c r="I4" t="n">
        <v>11</v>
      </c>
      <c r="J4" t="n">
        <v>6</v>
      </c>
      <c r="K4" t="n">
        <v>1</v>
      </c>
      <c r="L4" t="n">
        <v>0</v>
      </c>
      <c r="M4" t="n">
        <v>0</v>
      </c>
      <c r="N4" t="n">
        <v>0</v>
      </c>
      <c r="O4" t="n">
        <v>7</v>
      </c>
      <c r="P4" t="n">
        <v>1</v>
      </c>
      <c r="Q4" t="n">
        <v>19</v>
      </c>
      <c r="R4" s="2" t="inlineStr">
        <is>
          <t>Smalskaftslav
Kortskaftad ärgspik
Puderspindling
Ullticka
Vedskivlav
Vedtrappmossa
Vippärt
Bronshjon
Bårdlav
Fällmossa
Grov fjädermossa
Guldlockmossa
Gulnål
Klippfrullania
Platt fjädermossa
Skarp dropptaggsvamp
Stubbspretmossa
Tibast
Blåsippa</t>
        </is>
      </c>
      <c r="S4">
        <f>HYPERLINK("https://klasma.github.io/Logging_0513/artfynd/A 41451-2022.xlsx", "A 41451-2022")</f>
        <v/>
      </c>
      <c r="T4">
        <f>HYPERLINK("https://klasma.github.io/Logging_0513/kartor/A 41451-2022.png", "A 41451-2022")</f>
        <v/>
      </c>
      <c r="V4">
        <f>HYPERLINK("https://klasma.github.io/Logging_0513/klagomål/A 41451-2022.docx", "A 41451-2022")</f>
        <v/>
      </c>
      <c r="W4">
        <f>HYPERLINK("https://klasma.github.io/Logging_0513/klagomålsmail/A 41451-2022.docx", "A 41451-2022")</f>
        <v/>
      </c>
      <c r="X4">
        <f>HYPERLINK("https://klasma.github.io/Logging_0513/tillsyn/A 41451-2022.docx", "A 41451-2022")</f>
        <v/>
      </c>
      <c r="Y4">
        <f>HYPERLINK("https://klasma.github.io/Logging_0513/tillsynsmail/A 41451-2022.docx", "A 41451-2022")</f>
        <v/>
      </c>
    </row>
    <row r="5" ht="15" customHeight="1">
      <c r="A5" t="inlineStr">
        <is>
          <t>A 17515-2022</t>
        </is>
      </c>
      <c r="B5" s="1" t="n">
        <v>44679</v>
      </c>
      <c r="C5" s="1" t="n">
        <v>45211</v>
      </c>
      <c r="D5" t="inlineStr">
        <is>
          <t>ÖSTERGÖTLANDS LÄN</t>
        </is>
      </c>
      <c r="E5" t="inlineStr">
        <is>
          <t>LINKÖPING</t>
        </is>
      </c>
      <c r="F5" t="inlineStr">
        <is>
          <t>Kommuner</t>
        </is>
      </c>
      <c r="G5" t="n">
        <v>7.4</v>
      </c>
      <c r="H5" t="n">
        <v>1</v>
      </c>
      <c r="I5" t="n">
        <v>10</v>
      </c>
      <c r="J5" t="n">
        <v>3</v>
      </c>
      <c r="K5" t="n">
        <v>4</v>
      </c>
      <c r="L5" t="n">
        <v>0</v>
      </c>
      <c r="M5" t="n">
        <v>0</v>
      </c>
      <c r="N5" t="n">
        <v>0</v>
      </c>
      <c r="O5" t="n">
        <v>7</v>
      </c>
      <c r="P5" t="n">
        <v>4</v>
      </c>
      <c r="Q5" t="n">
        <v>18</v>
      </c>
      <c r="R5" s="2" t="inlineStr">
        <is>
          <t>Granrotspindling
Grå vedslidskivling
Olivinkremla
Silkesslidskivling
Kandelabersvamp
Kungsspindling
Puderspindling
Barkticka
Fjällig taggsvamp s.str.
Fällmossa
Igelkottsröksvamp
Kornknutmossa
Kryddspindling
Rävticka
Stubbspretmossa
Svart trolldruva
Trådticka
Blåsippa</t>
        </is>
      </c>
      <c r="S5">
        <f>HYPERLINK("https://klasma.github.io/Logging_0580/artfynd/A 17515-2022.xlsx", "A 17515-2022")</f>
        <v/>
      </c>
      <c r="T5">
        <f>HYPERLINK("https://klasma.github.io/Logging_0580/kartor/A 17515-2022.png", "A 17515-2022")</f>
        <v/>
      </c>
      <c r="V5">
        <f>HYPERLINK("https://klasma.github.io/Logging_0580/klagomål/A 17515-2022.docx", "A 17515-2022")</f>
        <v/>
      </c>
      <c r="W5">
        <f>HYPERLINK("https://klasma.github.io/Logging_0580/klagomålsmail/A 17515-2022.docx", "A 17515-2022")</f>
        <v/>
      </c>
      <c r="X5">
        <f>HYPERLINK("https://klasma.github.io/Logging_0580/tillsyn/A 17515-2022.docx", "A 17515-2022")</f>
        <v/>
      </c>
      <c r="Y5">
        <f>HYPERLINK("https://klasma.github.io/Logging_0580/tillsynsmail/A 17515-2022.docx", "A 17515-2022")</f>
        <v/>
      </c>
    </row>
    <row r="6" ht="15" customHeight="1">
      <c r="A6" t="inlineStr">
        <is>
          <t>A 51780-2022</t>
        </is>
      </c>
      <c r="B6" s="1" t="n">
        <v>44872</v>
      </c>
      <c r="C6" s="1" t="n">
        <v>45211</v>
      </c>
      <c r="D6" t="inlineStr">
        <is>
          <t>ÖSTERGÖTLANDS LÄN</t>
        </is>
      </c>
      <c r="E6" t="inlineStr">
        <is>
          <t>KINDA</t>
        </is>
      </c>
      <c r="G6" t="n">
        <v>6.7</v>
      </c>
      <c r="H6" t="n">
        <v>2</v>
      </c>
      <c r="I6" t="n">
        <v>9</v>
      </c>
      <c r="J6" t="n">
        <v>5</v>
      </c>
      <c r="K6" t="n">
        <v>3</v>
      </c>
      <c r="L6" t="n">
        <v>0</v>
      </c>
      <c r="M6" t="n">
        <v>0</v>
      </c>
      <c r="N6" t="n">
        <v>0</v>
      </c>
      <c r="O6" t="n">
        <v>8</v>
      </c>
      <c r="P6" t="n">
        <v>3</v>
      </c>
      <c r="Q6" t="n">
        <v>18</v>
      </c>
      <c r="R6" s="2" t="inlineStr">
        <is>
          <t>Aspgelélav
Gropig skägglav
Knärot
Dvärgbägarlav
Motaggsvamp
Tallticka
Ullticka
Vedtrappmossa
Brandticka
Dvärgtufs
Fällmossa
Grönpyrola
Gulnål
Mindre märgborre
Rävticka
Skinnlav
Trubbfjädermossa
Blåsippa</t>
        </is>
      </c>
      <c r="S6">
        <f>HYPERLINK("https://klasma.github.io/Logging_0513/artfynd/A 51780-2022.xlsx", "A 51780-2022")</f>
        <v/>
      </c>
      <c r="T6">
        <f>HYPERLINK("https://klasma.github.io/Logging_0513/kartor/A 51780-2022.png", "A 51780-2022")</f>
        <v/>
      </c>
      <c r="U6">
        <f>HYPERLINK("https://klasma.github.io/Logging_0513/knärot/A 51780-2022.png", "A 51780-2022")</f>
        <v/>
      </c>
      <c r="V6">
        <f>HYPERLINK("https://klasma.github.io/Logging_0513/klagomål/A 51780-2022.docx", "A 51780-2022")</f>
        <v/>
      </c>
      <c r="W6">
        <f>HYPERLINK("https://klasma.github.io/Logging_0513/klagomålsmail/A 51780-2022.docx", "A 51780-2022")</f>
        <v/>
      </c>
      <c r="X6">
        <f>HYPERLINK("https://klasma.github.io/Logging_0513/tillsyn/A 51780-2022.docx", "A 51780-2022")</f>
        <v/>
      </c>
      <c r="Y6">
        <f>HYPERLINK("https://klasma.github.io/Logging_0513/tillsynsmail/A 51780-2022.docx", "A 51780-2022")</f>
        <v/>
      </c>
    </row>
    <row r="7" ht="15" customHeight="1">
      <c r="A7" t="inlineStr">
        <is>
          <t>A 57460-2022</t>
        </is>
      </c>
      <c r="B7" s="1" t="n">
        <v>44896</v>
      </c>
      <c r="C7" s="1" t="n">
        <v>45211</v>
      </c>
      <c r="D7" t="inlineStr">
        <is>
          <t>ÖSTERGÖTLANDS LÄN</t>
        </is>
      </c>
      <c r="E7" t="inlineStr">
        <is>
          <t>FINSPÅNG</t>
        </is>
      </c>
      <c r="F7" t="inlineStr">
        <is>
          <t>Holmen skog AB</t>
        </is>
      </c>
      <c r="G7" t="n">
        <v>4.9</v>
      </c>
      <c r="H7" t="n">
        <v>1</v>
      </c>
      <c r="I7" t="n">
        <v>8</v>
      </c>
      <c r="J7" t="n">
        <v>7</v>
      </c>
      <c r="K7" t="n">
        <v>0</v>
      </c>
      <c r="L7" t="n">
        <v>1</v>
      </c>
      <c r="M7" t="n">
        <v>1</v>
      </c>
      <c r="N7" t="n">
        <v>0</v>
      </c>
      <c r="O7" t="n">
        <v>9</v>
      </c>
      <c r="P7" t="n">
        <v>2</v>
      </c>
      <c r="Q7" t="n">
        <v>18</v>
      </c>
      <c r="R7" s="2" t="inlineStr">
        <is>
          <t>Skogsalm
Ask
Asppraktbagge
Bergjohannesört
Gammelekslav
Gullklöver
Korskovall
Rosa skärelav
Ullticka
Bolmörtsskivling
Brun nållav
Fällmossa
Grå skärelav
Guldlockmossa
Klippfrullania
Mandelriska
Toppvaxskivling
Blåsippa</t>
        </is>
      </c>
      <c r="S7">
        <f>HYPERLINK("https://klasma.github.io/Logging_0562/artfynd/A 57460-2022.xlsx", "A 57460-2022")</f>
        <v/>
      </c>
      <c r="T7">
        <f>HYPERLINK("https://klasma.github.io/Logging_0562/kartor/A 57460-2022.png", "A 57460-2022")</f>
        <v/>
      </c>
      <c r="V7">
        <f>HYPERLINK("https://klasma.github.io/Logging_0562/klagomål/A 57460-2022.docx", "A 57460-2022")</f>
        <v/>
      </c>
      <c r="W7">
        <f>HYPERLINK("https://klasma.github.io/Logging_0562/klagomålsmail/A 57460-2022.docx", "A 57460-2022")</f>
        <v/>
      </c>
      <c r="X7">
        <f>HYPERLINK("https://klasma.github.io/Logging_0562/tillsyn/A 57460-2022.docx", "A 57460-2022")</f>
        <v/>
      </c>
      <c r="Y7">
        <f>HYPERLINK("https://klasma.github.io/Logging_0562/tillsynsmail/A 57460-2022.docx", "A 57460-2022")</f>
        <v/>
      </c>
    </row>
    <row r="8" ht="15" customHeight="1">
      <c r="A8" t="inlineStr">
        <is>
          <t>A 57525-2022</t>
        </is>
      </c>
      <c r="B8" s="1" t="n">
        <v>44896</v>
      </c>
      <c r="C8" s="1" t="n">
        <v>45211</v>
      </c>
      <c r="D8" t="inlineStr">
        <is>
          <t>ÖSTERGÖTLANDS LÄN</t>
        </is>
      </c>
      <c r="E8" t="inlineStr">
        <is>
          <t>NORRKÖPING</t>
        </is>
      </c>
      <c r="G8" t="n">
        <v>16.7</v>
      </c>
      <c r="H8" t="n">
        <v>2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0</v>
      </c>
      <c r="O8" t="n">
        <v>7</v>
      </c>
      <c r="P8" t="n">
        <v>0</v>
      </c>
      <c r="Q8" t="n">
        <v>16</v>
      </c>
      <c r="R8" s="2" t="inlineStr">
        <is>
          <t>Granticka
Kandelabersvamp
Kolflarnlav
Reliktbock
Tallticka
Vedskivlav
Vintertagging
Flagellkvastmossa
Fällmossa
Granbarkgnagare
Grön sköldmossa
Guldlockmossa
Hasselticka
Mindre märgborre
Platt fjädermossa
Blåsippa</t>
        </is>
      </c>
      <c r="S8">
        <f>HYPERLINK("https://klasma.github.io/Logging_0581/artfynd/A 57525-2022.xlsx", "A 57525-2022")</f>
        <v/>
      </c>
      <c r="T8">
        <f>HYPERLINK("https://klasma.github.io/Logging_0581/kartor/A 57525-2022.png", "A 57525-2022")</f>
        <v/>
      </c>
      <c r="V8">
        <f>HYPERLINK("https://klasma.github.io/Logging_0581/klagomål/A 57525-2022.docx", "A 57525-2022")</f>
        <v/>
      </c>
      <c r="W8">
        <f>HYPERLINK("https://klasma.github.io/Logging_0581/klagomålsmail/A 57525-2022.docx", "A 57525-2022")</f>
        <v/>
      </c>
      <c r="X8">
        <f>HYPERLINK("https://klasma.github.io/Logging_0581/tillsyn/A 57525-2022.docx", "A 57525-2022")</f>
        <v/>
      </c>
      <c r="Y8">
        <f>HYPERLINK("https://klasma.github.io/Logging_0581/tillsynsmail/A 57525-2022.docx", "A 57525-2022")</f>
        <v/>
      </c>
    </row>
    <row r="9" ht="15" customHeight="1">
      <c r="A9" t="inlineStr">
        <is>
          <t>A 5338-2023</t>
        </is>
      </c>
      <c r="B9" s="1" t="n">
        <v>44959</v>
      </c>
      <c r="C9" s="1" t="n">
        <v>45211</v>
      </c>
      <c r="D9" t="inlineStr">
        <is>
          <t>ÖSTERGÖTLANDS LÄN</t>
        </is>
      </c>
      <c r="E9" t="inlineStr">
        <is>
          <t>NORRKÖPING</t>
        </is>
      </c>
      <c r="F9" t="inlineStr">
        <is>
          <t>Holmen skog AB</t>
        </is>
      </c>
      <c r="G9" t="n">
        <v>13.2</v>
      </c>
      <c r="H9" t="n">
        <v>1</v>
      </c>
      <c r="I9" t="n">
        <v>10</v>
      </c>
      <c r="J9" t="n">
        <v>5</v>
      </c>
      <c r="K9" t="n">
        <v>1</v>
      </c>
      <c r="L9" t="n">
        <v>0</v>
      </c>
      <c r="M9" t="n">
        <v>0</v>
      </c>
      <c r="N9" t="n">
        <v>0</v>
      </c>
      <c r="O9" t="n">
        <v>6</v>
      </c>
      <c r="P9" t="n">
        <v>1</v>
      </c>
      <c r="Q9" t="n">
        <v>16</v>
      </c>
      <c r="R9" s="2" t="inlineStr">
        <is>
          <t>Knärot
Dvärgbägarlav
Tallticka
Ullticka
Vedskivlav
Vedtrappmossa
Björksplintborre
Blåmossa
Bronshjon
Dropptaggsvamp
Flagellkvastmossa
Granbarkgnagare
Kattfotslav
Mindre märgborre
Vanlig rörsvepemossa
Vedticka</t>
        </is>
      </c>
      <c r="S9">
        <f>HYPERLINK("https://klasma.github.io/Logging_0581/artfynd/A 5338-2023.xlsx", "A 5338-2023")</f>
        <v/>
      </c>
      <c r="T9">
        <f>HYPERLINK("https://klasma.github.io/Logging_0581/kartor/A 5338-2023.png", "A 5338-2023")</f>
        <v/>
      </c>
      <c r="U9">
        <f>HYPERLINK("https://klasma.github.io/Logging_0581/knärot/A 5338-2023.png", "A 5338-2023")</f>
        <v/>
      </c>
      <c r="V9">
        <f>HYPERLINK("https://klasma.github.io/Logging_0581/klagomål/A 5338-2023.docx", "A 5338-2023")</f>
        <v/>
      </c>
      <c r="W9">
        <f>HYPERLINK("https://klasma.github.io/Logging_0581/klagomålsmail/A 5338-2023.docx", "A 5338-2023")</f>
        <v/>
      </c>
      <c r="X9">
        <f>HYPERLINK("https://klasma.github.io/Logging_0581/tillsyn/A 5338-2023.docx", "A 5338-2023")</f>
        <v/>
      </c>
      <c r="Y9">
        <f>HYPERLINK("https://klasma.github.io/Logging_0581/tillsynsmail/A 5338-2023.docx", "A 5338-2023")</f>
        <v/>
      </c>
    </row>
    <row r="10" ht="15" customHeight="1">
      <c r="A10" t="inlineStr">
        <is>
          <t>A 39339-2018</t>
        </is>
      </c>
      <c r="B10" s="1" t="n">
        <v>43341</v>
      </c>
      <c r="C10" s="1" t="n">
        <v>45211</v>
      </c>
      <c r="D10" t="inlineStr">
        <is>
          <t>ÖSTERGÖTLANDS LÄN</t>
        </is>
      </c>
      <c r="E10" t="inlineStr">
        <is>
          <t>ÅTVIDABERG</t>
        </is>
      </c>
      <c r="G10" t="n">
        <v>7.3</v>
      </c>
      <c r="H10" t="n">
        <v>1</v>
      </c>
      <c r="I10" t="n">
        <v>9</v>
      </c>
      <c r="J10" t="n">
        <v>2</v>
      </c>
      <c r="K10" t="n">
        <v>4</v>
      </c>
      <c r="L10" t="n">
        <v>0</v>
      </c>
      <c r="M10" t="n">
        <v>0</v>
      </c>
      <c r="N10" t="n">
        <v>0</v>
      </c>
      <c r="O10" t="n">
        <v>6</v>
      </c>
      <c r="P10" t="n">
        <v>4</v>
      </c>
      <c r="Q10" t="n">
        <v>15</v>
      </c>
      <c r="R10" s="2" t="inlineStr">
        <is>
          <t>Grangråticka
Läderdoftande fingersvamp
Spricktaggsvamp
Taggfingersvamp
Ullticka
Vedtrappmossa
Dropptaggsvamp
Grön sköldmossa
Guldkremla
Guldlockmossa
Platt fjädermossa
Rävticka
Skarp dropptaggsvamp
Tjockfotad fingersvamp
Trädporella</t>
        </is>
      </c>
      <c r="S10">
        <f>HYPERLINK("https://klasma.github.io/Logging_0561/artfynd/A 39339-2018.xlsx", "A 39339-2018")</f>
        <v/>
      </c>
      <c r="T10">
        <f>HYPERLINK("https://klasma.github.io/Logging_0561/kartor/A 39339-2018.png", "A 39339-2018")</f>
        <v/>
      </c>
      <c r="V10">
        <f>HYPERLINK("https://klasma.github.io/Logging_0561/klagomål/A 39339-2018.docx", "A 39339-2018")</f>
        <v/>
      </c>
      <c r="W10">
        <f>HYPERLINK("https://klasma.github.io/Logging_0561/klagomålsmail/A 39339-2018.docx", "A 39339-2018")</f>
        <v/>
      </c>
      <c r="X10">
        <f>HYPERLINK("https://klasma.github.io/Logging_0561/tillsyn/A 39339-2018.docx", "A 39339-2018")</f>
        <v/>
      </c>
      <c r="Y10">
        <f>HYPERLINK("https://klasma.github.io/Logging_0561/tillsynsmail/A 39339-2018.docx", "A 39339-2018")</f>
        <v/>
      </c>
    </row>
    <row r="11" ht="15" customHeight="1">
      <c r="A11" t="inlineStr">
        <is>
          <t>A 11516-2021</t>
        </is>
      </c>
      <c r="B11" s="1" t="n">
        <v>44264</v>
      </c>
      <c r="C11" s="1" t="n">
        <v>45211</v>
      </c>
      <c r="D11" t="inlineStr">
        <is>
          <t>ÖSTERGÖTLANDS LÄN</t>
        </is>
      </c>
      <c r="E11" t="inlineStr">
        <is>
          <t>NORRKÖPING</t>
        </is>
      </c>
      <c r="G11" t="n">
        <v>4.2</v>
      </c>
      <c r="H11" t="n">
        <v>1</v>
      </c>
      <c r="I11" t="n">
        <v>8</v>
      </c>
      <c r="J11" t="n">
        <v>2</v>
      </c>
      <c r="K11" t="n">
        <v>3</v>
      </c>
      <c r="L11" t="n">
        <v>0</v>
      </c>
      <c r="M11" t="n">
        <v>0</v>
      </c>
      <c r="N11" t="n">
        <v>0</v>
      </c>
      <c r="O11" t="n">
        <v>5</v>
      </c>
      <c r="P11" t="n">
        <v>3</v>
      </c>
      <c r="Q11" t="n">
        <v>13</v>
      </c>
      <c r="R11" s="2" t="inlineStr">
        <is>
          <t>Aspgelélav
Knärot
Ostticka
Gränsticka
Ullticka
Bronshjon
Fällmossa
Guldlockmossa
Gulnål
Kattfotslav
Mörk husmossa
Platt fjädermossa
Vedticka</t>
        </is>
      </c>
      <c r="S11">
        <f>HYPERLINK("https://klasma.github.io/Logging_0581/artfynd/A 11516-2021.xlsx", "A 11516-2021")</f>
        <v/>
      </c>
      <c r="T11">
        <f>HYPERLINK("https://klasma.github.io/Logging_0581/kartor/A 11516-2021.png", "A 11516-2021")</f>
        <v/>
      </c>
      <c r="U11">
        <f>HYPERLINK("https://klasma.github.io/Logging_0581/knärot/A 11516-2021.png", "A 11516-2021")</f>
        <v/>
      </c>
      <c r="V11">
        <f>HYPERLINK("https://klasma.github.io/Logging_0581/klagomål/A 11516-2021.docx", "A 11516-2021")</f>
        <v/>
      </c>
      <c r="W11">
        <f>HYPERLINK("https://klasma.github.io/Logging_0581/klagomålsmail/A 11516-2021.docx", "A 11516-2021")</f>
        <v/>
      </c>
      <c r="X11">
        <f>HYPERLINK("https://klasma.github.io/Logging_0581/tillsyn/A 11516-2021.docx", "A 11516-2021")</f>
        <v/>
      </c>
      <c r="Y11">
        <f>HYPERLINK("https://klasma.github.io/Logging_0581/tillsynsmail/A 11516-2021.docx", "A 11516-2021")</f>
        <v/>
      </c>
    </row>
    <row r="12" ht="15" customHeight="1">
      <c r="A12" t="inlineStr">
        <is>
          <t>A 17417-2021</t>
        </is>
      </c>
      <c r="B12" s="1" t="n">
        <v>44299</v>
      </c>
      <c r="C12" s="1" t="n">
        <v>45211</v>
      </c>
      <c r="D12" t="inlineStr">
        <is>
          <t>ÖSTERGÖTLANDS LÄN</t>
        </is>
      </c>
      <c r="E12" t="inlineStr">
        <is>
          <t>NORRKÖPING</t>
        </is>
      </c>
      <c r="G12" t="n">
        <v>6</v>
      </c>
      <c r="H12" t="n">
        <v>2</v>
      </c>
      <c r="I12" t="n">
        <v>7</v>
      </c>
      <c r="J12" t="n">
        <v>5</v>
      </c>
      <c r="K12" t="n">
        <v>1</v>
      </c>
      <c r="L12" t="n">
        <v>0</v>
      </c>
      <c r="M12" t="n">
        <v>0</v>
      </c>
      <c r="N12" t="n">
        <v>0</v>
      </c>
      <c r="O12" t="n">
        <v>6</v>
      </c>
      <c r="P12" t="n">
        <v>1</v>
      </c>
      <c r="Q12" t="n">
        <v>13</v>
      </c>
      <c r="R12" s="2" t="inlineStr">
        <is>
          <t>Knärot
Mindre hackspett
Tallticka
Ullticka
Vedskivlav
Vedtrappmossa
Blomkålssvamp
Bronshjon
Fällmossa
Grönpyrola
Platt fjädermossa
Rävticka
Västlig hakmossa</t>
        </is>
      </c>
      <c r="S12">
        <f>HYPERLINK("https://klasma.github.io/Logging_0581/artfynd/A 17417-2021.xlsx", "A 17417-2021")</f>
        <v/>
      </c>
      <c r="T12">
        <f>HYPERLINK("https://klasma.github.io/Logging_0581/kartor/A 17417-2021.png", "A 17417-2021")</f>
        <v/>
      </c>
      <c r="U12">
        <f>HYPERLINK("https://klasma.github.io/Logging_0581/knärot/A 17417-2021.png", "A 17417-2021")</f>
        <v/>
      </c>
      <c r="V12">
        <f>HYPERLINK("https://klasma.github.io/Logging_0581/klagomål/A 17417-2021.docx", "A 17417-2021")</f>
        <v/>
      </c>
      <c r="W12">
        <f>HYPERLINK("https://klasma.github.io/Logging_0581/klagomålsmail/A 17417-2021.docx", "A 17417-2021")</f>
        <v/>
      </c>
      <c r="X12">
        <f>HYPERLINK("https://klasma.github.io/Logging_0581/tillsyn/A 17417-2021.docx", "A 17417-2021")</f>
        <v/>
      </c>
      <c r="Y12">
        <f>HYPERLINK("https://klasma.github.io/Logging_0581/tillsynsmail/A 17417-2021.docx", "A 17417-2021")</f>
        <v/>
      </c>
    </row>
    <row r="13" ht="15" customHeight="1">
      <c r="A13" t="inlineStr">
        <is>
          <t>A 50388-2022</t>
        </is>
      </c>
      <c r="B13" s="1" t="n">
        <v>44866</v>
      </c>
      <c r="C13" s="1" t="n">
        <v>45211</v>
      </c>
      <c r="D13" t="inlineStr">
        <is>
          <t>ÖSTERGÖTLANDS LÄN</t>
        </is>
      </c>
      <c r="E13" t="inlineStr">
        <is>
          <t>SÖDERKÖPING</t>
        </is>
      </c>
      <c r="G13" t="n">
        <v>10.8</v>
      </c>
      <c r="H13" t="n">
        <v>3</v>
      </c>
      <c r="I13" t="n">
        <v>6</v>
      </c>
      <c r="J13" t="n">
        <v>4</v>
      </c>
      <c r="K13" t="n">
        <v>2</v>
      </c>
      <c r="L13" t="n">
        <v>0</v>
      </c>
      <c r="M13" t="n">
        <v>0</v>
      </c>
      <c r="N13" t="n">
        <v>0</v>
      </c>
      <c r="O13" t="n">
        <v>6</v>
      </c>
      <c r="P13" t="n">
        <v>2</v>
      </c>
      <c r="Q13" t="n">
        <v>13</v>
      </c>
      <c r="R13" s="2" t="inlineStr">
        <is>
          <t>Ekpricklav
Knärot
Skuggorangelav
Tallticka
Talltita
Vedskivlav
Dropptaggsvamp
Granbarkgnagare
Grovticka
Grönpyrola
Mindre märgborre
Nästlav
Blåsippa</t>
        </is>
      </c>
      <c r="S13">
        <f>HYPERLINK("https://klasma.github.io/Logging_0582/artfynd/A 50388-2022.xlsx", "A 50388-2022")</f>
        <v/>
      </c>
      <c r="T13">
        <f>HYPERLINK("https://klasma.github.io/Logging_0582/kartor/A 50388-2022.png", "A 50388-2022")</f>
        <v/>
      </c>
      <c r="U13">
        <f>HYPERLINK("https://klasma.github.io/Logging_0582/knärot/A 50388-2022.png", "A 50388-2022")</f>
        <v/>
      </c>
      <c r="V13">
        <f>HYPERLINK("https://klasma.github.io/Logging_0582/klagomål/A 50388-2022.docx", "A 50388-2022")</f>
        <v/>
      </c>
      <c r="W13">
        <f>HYPERLINK("https://klasma.github.io/Logging_0582/klagomålsmail/A 50388-2022.docx", "A 50388-2022")</f>
        <v/>
      </c>
      <c r="X13">
        <f>HYPERLINK("https://klasma.github.io/Logging_0582/tillsyn/A 50388-2022.docx", "A 50388-2022")</f>
        <v/>
      </c>
      <c r="Y13">
        <f>HYPERLINK("https://klasma.github.io/Logging_0582/tillsynsmail/A 50388-2022.docx", "A 50388-2022")</f>
        <v/>
      </c>
    </row>
    <row r="14" ht="15" customHeight="1">
      <c r="A14" t="inlineStr">
        <is>
          <t>A 14506-2023</t>
        </is>
      </c>
      <c r="B14" s="1" t="n">
        <v>45012</v>
      </c>
      <c r="C14" s="1" t="n">
        <v>45211</v>
      </c>
      <c r="D14" t="inlineStr">
        <is>
          <t>ÖSTERGÖTLANDS LÄN</t>
        </is>
      </c>
      <c r="E14" t="inlineStr">
        <is>
          <t>NORRKÖPING</t>
        </is>
      </c>
      <c r="G14" t="n">
        <v>7.7</v>
      </c>
      <c r="H14" t="n">
        <v>3</v>
      </c>
      <c r="I14" t="n">
        <v>7</v>
      </c>
      <c r="J14" t="n">
        <v>4</v>
      </c>
      <c r="K14" t="n">
        <v>1</v>
      </c>
      <c r="L14" t="n">
        <v>0</v>
      </c>
      <c r="M14" t="n">
        <v>0</v>
      </c>
      <c r="N14" t="n">
        <v>0</v>
      </c>
      <c r="O14" t="n">
        <v>5</v>
      </c>
      <c r="P14" t="n">
        <v>1</v>
      </c>
      <c r="Q14" t="n">
        <v>13</v>
      </c>
      <c r="R14" s="2" t="inlineStr">
        <is>
          <t>Knärot
Gul taggsvamp
Orange taggsvamp
Spillkråka
Ullticka
Blomkålssvamp
Blåmossa
Bronshjon
Dropptaggsvamp
Grovticka
Grönpyrola
Rostfläck
Blåsippa</t>
        </is>
      </c>
      <c r="S14">
        <f>HYPERLINK("https://klasma.github.io/Logging_0581/artfynd/A 14506-2023.xlsx", "A 14506-2023")</f>
        <v/>
      </c>
      <c r="T14">
        <f>HYPERLINK("https://klasma.github.io/Logging_0581/kartor/A 14506-2023.png", "A 14506-2023")</f>
        <v/>
      </c>
      <c r="U14">
        <f>HYPERLINK("https://klasma.github.io/Logging_0581/knärot/A 14506-2023.png", "A 14506-2023")</f>
        <v/>
      </c>
      <c r="V14">
        <f>HYPERLINK("https://klasma.github.io/Logging_0581/klagomål/A 14506-2023.docx", "A 14506-2023")</f>
        <v/>
      </c>
      <c r="W14">
        <f>HYPERLINK("https://klasma.github.io/Logging_0581/klagomålsmail/A 14506-2023.docx", "A 14506-2023")</f>
        <v/>
      </c>
      <c r="X14">
        <f>HYPERLINK("https://klasma.github.io/Logging_0581/tillsyn/A 14506-2023.docx", "A 14506-2023")</f>
        <v/>
      </c>
      <c r="Y14">
        <f>HYPERLINK("https://klasma.github.io/Logging_0581/tillsynsmail/A 14506-2023.docx", "A 14506-2023")</f>
        <v/>
      </c>
    </row>
    <row r="15" ht="15" customHeight="1">
      <c r="A15" t="inlineStr">
        <is>
          <t>A 26258-2020</t>
        </is>
      </c>
      <c r="B15" s="1" t="n">
        <v>43986</v>
      </c>
      <c r="C15" s="1" t="n">
        <v>45211</v>
      </c>
      <c r="D15" t="inlineStr">
        <is>
          <t>ÖSTERGÖTLANDS LÄN</t>
        </is>
      </c>
      <c r="E15" t="inlineStr">
        <is>
          <t>BOXHOLM</t>
        </is>
      </c>
      <c r="F15" t="inlineStr">
        <is>
          <t>Övriga Aktiebolag</t>
        </is>
      </c>
      <c r="G15" t="n">
        <v>10.1</v>
      </c>
      <c r="H15" t="n">
        <v>1</v>
      </c>
      <c r="I15" t="n">
        <v>3</v>
      </c>
      <c r="J15" t="n">
        <v>7</v>
      </c>
      <c r="K15" t="n">
        <v>1</v>
      </c>
      <c r="L15" t="n">
        <v>0</v>
      </c>
      <c r="M15" t="n">
        <v>0</v>
      </c>
      <c r="N15" t="n">
        <v>0</v>
      </c>
      <c r="O15" t="n">
        <v>8</v>
      </c>
      <c r="P15" t="n">
        <v>1</v>
      </c>
      <c r="Q15" t="n">
        <v>11</v>
      </c>
      <c r="R15" s="2" t="inlineStr">
        <is>
          <t>Läderbagge
Gammelekslav
Gul dropplav
Hjälmbrosklav
Oxtungssvamp
Rosa skärelav
Rödbrun blekspik
Skuggorangelav
Brun nållav
Gulpudrad spiklav
Kornig nållav</t>
        </is>
      </c>
      <c r="S15">
        <f>HYPERLINK("https://klasma.github.io/Logging_0560/artfynd/A 26258-2020.xlsx", "A 26258-2020")</f>
        <v/>
      </c>
      <c r="T15">
        <f>HYPERLINK("https://klasma.github.io/Logging_0560/kartor/A 26258-2020.png", "A 26258-2020")</f>
        <v/>
      </c>
      <c r="V15">
        <f>HYPERLINK("https://klasma.github.io/Logging_0560/klagomål/A 26258-2020.docx", "A 26258-2020")</f>
        <v/>
      </c>
      <c r="W15">
        <f>HYPERLINK("https://klasma.github.io/Logging_0560/klagomålsmail/A 26258-2020.docx", "A 26258-2020")</f>
        <v/>
      </c>
      <c r="X15">
        <f>HYPERLINK("https://klasma.github.io/Logging_0560/tillsyn/A 26258-2020.docx", "A 26258-2020")</f>
        <v/>
      </c>
      <c r="Y15">
        <f>HYPERLINK("https://klasma.github.io/Logging_0560/tillsynsmail/A 26258-2020.docx", "A 26258-2020")</f>
        <v/>
      </c>
    </row>
    <row r="16" ht="15" customHeight="1">
      <c r="A16" t="inlineStr">
        <is>
          <t>A 27710-2020</t>
        </is>
      </c>
      <c r="B16" s="1" t="n">
        <v>43994</v>
      </c>
      <c r="C16" s="1" t="n">
        <v>45211</v>
      </c>
      <c r="D16" t="inlineStr">
        <is>
          <t>ÖSTERGÖTLANDS LÄN</t>
        </is>
      </c>
      <c r="E16" t="inlineStr">
        <is>
          <t>BOXHOLM</t>
        </is>
      </c>
      <c r="G16" t="n">
        <v>36.3</v>
      </c>
      <c r="H16" t="n">
        <v>3</v>
      </c>
      <c r="I16" t="n">
        <v>7</v>
      </c>
      <c r="J16" t="n">
        <v>2</v>
      </c>
      <c r="K16" t="n">
        <v>1</v>
      </c>
      <c r="L16" t="n">
        <v>0</v>
      </c>
      <c r="M16" t="n">
        <v>0</v>
      </c>
      <c r="N16" t="n">
        <v>0</v>
      </c>
      <c r="O16" t="n">
        <v>3</v>
      </c>
      <c r="P16" t="n">
        <v>1</v>
      </c>
      <c r="Q16" t="n">
        <v>11</v>
      </c>
      <c r="R16" s="2" t="inlineStr">
        <is>
          <t>Knärot
Granticka
Ullticka
Bronshjon
Bårdlav
Fällmossa
Grön sköldmossa
Guldlockmossa
Gulnål
Kornig nållav
Revlummer</t>
        </is>
      </c>
      <c r="S16">
        <f>HYPERLINK("https://klasma.github.io/Logging_0560/artfynd/A 27710-2020.xlsx", "A 27710-2020")</f>
        <v/>
      </c>
      <c r="T16">
        <f>HYPERLINK("https://klasma.github.io/Logging_0560/kartor/A 27710-2020.png", "A 27710-2020")</f>
        <v/>
      </c>
      <c r="U16">
        <f>HYPERLINK("https://klasma.github.io/Logging_0560/knärot/A 27710-2020.png", "A 27710-2020")</f>
        <v/>
      </c>
      <c r="V16">
        <f>HYPERLINK("https://klasma.github.io/Logging_0560/klagomål/A 27710-2020.docx", "A 27710-2020")</f>
        <v/>
      </c>
      <c r="W16">
        <f>HYPERLINK("https://klasma.github.io/Logging_0560/klagomålsmail/A 27710-2020.docx", "A 27710-2020")</f>
        <v/>
      </c>
      <c r="X16">
        <f>HYPERLINK("https://klasma.github.io/Logging_0560/tillsyn/A 27710-2020.docx", "A 27710-2020")</f>
        <v/>
      </c>
      <c r="Y16">
        <f>HYPERLINK("https://klasma.github.io/Logging_0560/tillsynsmail/A 27710-2020.docx", "A 27710-2020")</f>
        <v/>
      </c>
    </row>
    <row r="17" ht="15" customHeight="1">
      <c r="A17" t="inlineStr">
        <is>
          <t>A 47407-2020</t>
        </is>
      </c>
      <c r="B17" s="1" t="n">
        <v>44097</v>
      </c>
      <c r="C17" s="1" t="n">
        <v>45211</v>
      </c>
      <c r="D17" t="inlineStr">
        <is>
          <t>ÖSTERGÖTLANDS LÄN</t>
        </is>
      </c>
      <c r="E17" t="inlineStr">
        <is>
          <t>VALDEMARSVIK</t>
        </is>
      </c>
      <c r="G17" t="n">
        <v>6.7</v>
      </c>
      <c r="H17" t="n">
        <v>1</v>
      </c>
      <c r="I17" t="n">
        <v>6</v>
      </c>
      <c r="J17" t="n">
        <v>4</v>
      </c>
      <c r="K17" t="n">
        <v>1</v>
      </c>
      <c r="L17" t="n">
        <v>0</v>
      </c>
      <c r="M17" t="n">
        <v>0</v>
      </c>
      <c r="N17" t="n">
        <v>0</v>
      </c>
      <c r="O17" t="n">
        <v>5</v>
      </c>
      <c r="P17" t="n">
        <v>1</v>
      </c>
      <c r="Q17" t="n">
        <v>11</v>
      </c>
      <c r="R17" s="2" t="inlineStr">
        <is>
          <t>Knärot
Granticka
Grönhjon
Ullticka
Vedskivlav
Blåmossa
Bronshjon
Grönpyrola
Mindre märgborre
Vedticka
Västlig hakmossa</t>
        </is>
      </c>
      <c r="S17">
        <f>HYPERLINK("https://klasma.github.io/Logging_0563/artfynd/A 47407-2020.xlsx", "A 47407-2020")</f>
        <v/>
      </c>
      <c r="T17">
        <f>HYPERLINK("https://klasma.github.io/Logging_0563/kartor/A 47407-2020.png", "A 47407-2020")</f>
        <v/>
      </c>
      <c r="U17">
        <f>HYPERLINK("https://klasma.github.io/Logging_0563/knärot/A 47407-2020.png", "A 47407-2020")</f>
        <v/>
      </c>
      <c r="V17">
        <f>HYPERLINK("https://klasma.github.io/Logging_0563/klagomål/A 47407-2020.docx", "A 47407-2020")</f>
        <v/>
      </c>
      <c r="W17">
        <f>HYPERLINK("https://klasma.github.io/Logging_0563/klagomålsmail/A 47407-2020.docx", "A 47407-2020")</f>
        <v/>
      </c>
      <c r="X17">
        <f>HYPERLINK("https://klasma.github.io/Logging_0563/tillsyn/A 47407-2020.docx", "A 47407-2020")</f>
        <v/>
      </c>
      <c r="Y17">
        <f>HYPERLINK("https://klasma.github.io/Logging_0563/tillsynsmail/A 47407-2020.docx", "A 47407-2020")</f>
        <v/>
      </c>
    </row>
    <row r="18" ht="15" customHeight="1">
      <c r="A18" t="inlineStr">
        <is>
          <t>A 2054-2022</t>
        </is>
      </c>
      <c r="B18" s="1" t="n">
        <v>44575</v>
      </c>
      <c r="C18" s="1" t="n">
        <v>45211</v>
      </c>
      <c r="D18" t="inlineStr">
        <is>
          <t>ÖSTERGÖTLANDS LÄN</t>
        </is>
      </c>
      <c r="E18" t="inlineStr">
        <is>
          <t>KINDA</t>
        </is>
      </c>
      <c r="G18" t="n">
        <v>8.300000000000001</v>
      </c>
      <c r="H18" t="n">
        <v>1</v>
      </c>
      <c r="I18" t="n">
        <v>8</v>
      </c>
      <c r="J18" t="n">
        <v>2</v>
      </c>
      <c r="K18" t="n">
        <v>1</v>
      </c>
      <c r="L18" t="n">
        <v>0</v>
      </c>
      <c r="M18" t="n">
        <v>0</v>
      </c>
      <c r="N18" t="n">
        <v>0</v>
      </c>
      <c r="O18" t="n">
        <v>3</v>
      </c>
      <c r="P18" t="n">
        <v>1</v>
      </c>
      <c r="Q18" t="n">
        <v>11</v>
      </c>
      <c r="R18" s="2" t="inlineStr">
        <is>
          <t>Knärot
Grönhjon
Vedtrappmossa
Blåmossa
Bronshjon
Dropptaggsvamp
Flagellkvastmossa
Granbarkgnagare
Grönpyrola
Mindre märgborre
Vedticka</t>
        </is>
      </c>
      <c r="S18">
        <f>HYPERLINK("https://klasma.github.io/Logging_0513/artfynd/A 2054-2022.xlsx", "A 2054-2022")</f>
        <v/>
      </c>
      <c r="T18">
        <f>HYPERLINK("https://klasma.github.io/Logging_0513/kartor/A 2054-2022.png", "A 2054-2022")</f>
        <v/>
      </c>
      <c r="U18">
        <f>HYPERLINK("https://klasma.github.io/Logging_0513/knärot/A 2054-2022.png", "A 2054-2022")</f>
        <v/>
      </c>
      <c r="V18">
        <f>HYPERLINK("https://klasma.github.io/Logging_0513/klagomål/A 2054-2022.docx", "A 2054-2022")</f>
        <v/>
      </c>
      <c r="W18">
        <f>HYPERLINK("https://klasma.github.io/Logging_0513/klagomålsmail/A 2054-2022.docx", "A 2054-2022")</f>
        <v/>
      </c>
      <c r="X18">
        <f>HYPERLINK("https://klasma.github.io/Logging_0513/tillsyn/A 2054-2022.docx", "A 2054-2022")</f>
        <v/>
      </c>
      <c r="Y18">
        <f>HYPERLINK("https://klasma.github.io/Logging_0513/tillsynsmail/A 2054-2022.docx", "A 2054-2022")</f>
        <v/>
      </c>
    </row>
    <row r="19" ht="15" customHeight="1">
      <c r="A19" t="inlineStr">
        <is>
          <t>A 10676-2022</t>
        </is>
      </c>
      <c r="B19" s="1" t="n">
        <v>44624</v>
      </c>
      <c r="C19" s="1" t="n">
        <v>45211</v>
      </c>
      <c r="D19" t="inlineStr">
        <is>
          <t>ÖSTERGÖTLANDS LÄN</t>
        </is>
      </c>
      <c r="E19" t="inlineStr">
        <is>
          <t>FINSPÅNG</t>
        </is>
      </c>
      <c r="F19" t="inlineStr">
        <is>
          <t>Holmen skog AB</t>
        </is>
      </c>
      <c r="G19" t="n">
        <v>4.5</v>
      </c>
      <c r="H19" t="n">
        <v>0</v>
      </c>
      <c r="I19" t="n">
        <v>5</v>
      </c>
      <c r="J19" t="n">
        <v>6</v>
      </c>
      <c r="K19" t="n">
        <v>0</v>
      </c>
      <c r="L19" t="n">
        <v>0</v>
      </c>
      <c r="M19" t="n">
        <v>0</v>
      </c>
      <c r="N19" t="n">
        <v>0</v>
      </c>
      <c r="O19" t="n">
        <v>6</v>
      </c>
      <c r="P19" t="n">
        <v>0</v>
      </c>
      <c r="Q19" t="n">
        <v>11</v>
      </c>
      <c r="R19" s="2" t="inlineStr">
        <is>
          <t>Dvärgbägarlav
Kolflarnlav
Motaggsvamp
Svart taggsvamp
Tallticka
Vedskivlav
Blomkålssvamp
Dropptaggsvamp
Grovticka
Mindre märgborre
Vanlig flatbagge</t>
        </is>
      </c>
      <c r="S19">
        <f>HYPERLINK("https://klasma.github.io/Logging_0562/artfynd/A 10676-2022.xlsx", "A 10676-2022")</f>
        <v/>
      </c>
      <c r="T19">
        <f>HYPERLINK("https://klasma.github.io/Logging_0562/kartor/A 10676-2022.png", "A 10676-2022")</f>
        <v/>
      </c>
      <c r="V19">
        <f>HYPERLINK("https://klasma.github.io/Logging_0562/klagomål/A 10676-2022.docx", "A 10676-2022")</f>
        <v/>
      </c>
      <c r="W19">
        <f>HYPERLINK("https://klasma.github.io/Logging_0562/klagomålsmail/A 10676-2022.docx", "A 10676-2022")</f>
        <v/>
      </c>
      <c r="X19">
        <f>HYPERLINK("https://klasma.github.io/Logging_0562/tillsyn/A 10676-2022.docx", "A 10676-2022")</f>
        <v/>
      </c>
      <c r="Y19">
        <f>HYPERLINK("https://klasma.github.io/Logging_0562/tillsynsmail/A 10676-2022.docx", "A 10676-2022")</f>
        <v/>
      </c>
    </row>
    <row r="20" ht="15" customHeight="1">
      <c r="A20" t="inlineStr">
        <is>
          <t>A 54982-2019</t>
        </is>
      </c>
      <c r="B20" s="1" t="n">
        <v>43751</v>
      </c>
      <c r="C20" s="1" t="n">
        <v>45211</v>
      </c>
      <c r="D20" t="inlineStr">
        <is>
          <t>ÖSTERGÖTLANDS LÄN</t>
        </is>
      </c>
      <c r="E20" t="inlineStr">
        <is>
          <t>LINKÖPING</t>
        </is>
      </c>
      <c r="G20" t="n">
        <v>7.5</v>
      </c>
      <c r="H20" t="n">
        <v>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10</v>
      </c>
      <c r="R20" s="2" t="inlineStr">
        <is>
          <t>Tallticka
Fjällig taggsvamp s.str.
Granriska
Grovticka
Rödgul trumpetsvamp
Skarp dropptaggsvamp
Svavelriska
Trådticka
Nattviol
Gullviva</t>
        </is>
      </c>
      <c r="S20">
        <f>HYPERLINK("https://klasma.github.io/Logging_0580/artfynd/A 54982-2019.xlsx", "A 54982-2019")</f>
        <v/>
      </c>
      <c r="T20">
        <f>HYPERLINK("https://klasma.github.io/Logging_0580/kartor/A 54982-2019.png", "A 54982-2019")</f>
        <v/>
      </c>
      <c r="V20">
        <f>HYPERLINK("https://klasma.github.io/Logging_0580/klagomål/A 54982-2019.docx", "A 54982-2019")</f>
        <v/>
      </c>
      <c r="W20">
        <f>HYPERLINK("https://klasma.github.io/Logging_0580/klagomålsmail/A 54982-2019.docx", "A 54982-2019")</f>
        <v/>
      </c>
      <c r="X20">
        <f>HYPERLINK("https://klasma.github.io/Logging_0580/tillsyn/A 54982-2019.docx", "A 54982-2019")</f>
        <v/>
      </c>
      <c r="Y20">
        <f>HYPERLINK("https://klasma.github.io/Logging_0580/tillsynsmail/A 54982-2019.docx", "A 54982-2019")</f>
        <v/>
      </c>
    </row>
    <row r="21" ht="15" customHeight="1">
      <c r="A21" t="inlineStr">
        <is>
          <t>A 59029-2019</t>
        </is>
      </c>
      <c r="B21" s="1" t="n">
        <v>43774</v>
      </c>
      <c r="C21" s="1" t="n">
        <v>45211</v>
      </c>
      <c r="D21" t="inlineStr">
        <is>
          <t>ÖSTERGÖTLANDS LÄN</t>
        </is>
      </c>
      <c r="E21" t="inlineStr">
        <is>
          <t>NORRKÖPING</t>
        </is>
      </c>
      <c r="F21" t="inlineStr">
        <is>
          <t>Allmännings- och besparingsskogar</t>
        </is>
      </c>
      <c r="G21" t="n">
        <v>23.4</v>
      </c>
      <c r="H21" t="n">
        <v>5</v>
      </c>
      <c r="I21" t="n">
        <v>6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10</v>
      </c>
      <c r="R21" s="2" t="inlineStr">
        <is>
          <t>Knärot
Grovticka
Grönpyrola
Kambräken
Mindre märgborre
Plattlummer
Thomsons trägnagare
Lopplummer
Mattlummer
Revlummer</t>
        </is>
      </c>
      <c r="S21">
        <f>HYPERLINK("https://klasma.github.io/Logging_0581/artfynd/A 59029-2019.xlsx", "A 59029-2019")</f>
        <v/>
      </c>
      <c r="T21">
        <f>HYPERLINK("https://klasma.github.io/Logging_0581/kartor/A 59029-2019.png", "A 59029-2019")</f>
        <v/>
      </c>
      <c r="U21">
        <f>HYPERLINK("https://klasma.github.io/Logging_0581/knärot/A 59029-2019.png", "A 59029-2019")</f>
        <v/>
      </c>
      <c r="V21">
        <f>HYPERLINK("https://klasma.github.io/Logging_0581/klagomål/A 59029-2019.docx", "A 59029-2019")</f>
        <v/>
      </c>
      <c r="W21">
        <f>HYPERLINK("https://klasma.github.io/Logging_0581/klagomålsmail/A 59029-2019.docx", "A 59029-2019")</f>
        <v/>
      </c>
      <c r="X21">
        <f>HYPERLINK("https://klasma.github.io/Logging_0581/tillsyn/A 59029-2019.docx", "A 59029-2019")</f>
        <v/>
      </c>
      <c r="Y21">
        <f>HYPERLINK("https://klasma.github.io/Logging_0581/tillsynsmail/A 59029-2019.docx", "A 59029-2019")</f>
        <v/>
      </c>
    </row>
    <row r="22" ht="15" customHeight="1">
      <c r="A22" t="inlineStr">
        <is>
          <t>A 57690-2022</t>
        </is>
      </c>
      <c r="B22" s="1" t="n">
        <v>44897</v>
      </c>
      <c r="C22" s="1" t="n">
        <v>45211</v>
      </c>
      <c r="D22" t="inlineStr">
        <is>
          <t>ÖSTERGÖTLANDS LÄN</t>
        </is>
      </c>
      <c r="E22" t="inlineStr">
        <is>
          <t>FINSPÅNG</t>
        </is>
      </c>
      <c r="F22" t="inlineStr">
        <is>
          <t>Holmen skog AB</t>
        </is>
      </c>
      <c r="G22" t="n">
        <v>15.7</v>
      </c>
      <c r="H22" t="n">
        <v>4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4</v>
      </c>
      <c r="P22" t="n">
        <v>0</v>
      </c>
      <c r="Q22" t="n">
        <v>10</v>
      </c>
      <c r="R22" s="2" t="inlineStr">
        <is>
          <t>Ekticka
Fransfladdermus
Nordfladdermus
Vippärt
Brun nållav
Hasselticka
Vätteros
Vårärt
Gråskimlig fladdermus
Blåsippa</t>
        </is>
      </c>
      <c r="S22">
        <f>HYPERLINK("https://klasma.github.io/Logging_0562/artfynd/A 57690-2022.xlsx", "A 57690-2022")</f>
        <v/>
      </c>
      <c r="T22">
        <f>HYPERLINK("https://klasma.github.io/Logging_0562/kartor/A 57690-2022.png", "A 57690-2022")</f>
        <v/>
      </c>
      <c r="V22">
        <f>HYPERLINK("https://klasma.github.io/Logging_0562/klagomål/A 57690-2022.docx", "A 57690-2022")</f>
        <v/>
      </c>
      <c r="W22">
        <f>HYPERLINK("https://klasma.github.io/Logging_0562/klagomålsmail/A 57690-2022.docx", "A 57690-2022")</f>
        <v/>
      </c>
      <c r="X22">
        <f>HYPERLINK("https://klasma.github.io/Logging_0562/tillsyn/A 57690-2022.docx", "A 57690-2022")</f>
        <v/>
      </c>
      <c r="Y22">
        <f>HYPERLINK("https://klasma.github.io/Logging_0562/tillsynsmail/A 57690-2022.docx", "A 57690-2022")</f>
        <v/>
      </c>
    </row>
    <row r="23" ht="15" customHeight="1">
      <c r="A23" t="inlineStr">
        <is>
          <t>A 34351-2023</t>
        </is>
      </c>
      <c r="B23" s="1" t="n">
        <v>45131</v>
      </c>
      <c r="C23" s="1" t="n">
        <v>45211</v>
      </c>
      <c r="D23" t="inlineStr">
        <is>
          <t>ÖSTERGÖTLANDS LÄN</t>
        </is>
      </c>
      <c r="E23" t="inlineStr">
        <is>
          <t>NORRKÖPING</t>
        </is>
      </c>
      <c r="F23" t="inlineStr">
        <is>
          <t>Allmännings- och besparingsskogar</t>
        </is>
      </c>
      <c r="G23" t="n">
        <v>9.6</v>
      </c>
      <c r="H23" t="n">
        <v>1</v>
      </c>
      <c r="I23" t="n">
        <v>5</v>
      </c>
      <c r="J23" t="n">
        <v>3</v>
      </c>
      <c r="K23" t="n">
        <v>1</v>
      </c>
      <c r="L23" t="n">
        <v>0</v>
      </c>
      <c r="M23" t="n">
        <v>0</v>
      </c>
      <c r="N23" t="n">
        <v>0</v>
      </c>
      <c r="O23" t="n">
        <v>4</v>
      </c>
      <c r="P23" t="n">
        <v>1</v>
      </c>
      <c r="Q23" t="n">
        <v>10</v>
      </c>
      <c r="R23" s="2" t="inlineStr">
        <is>
          <t>Flikbålmossa
Garnlav
Vaddporing
Vedtrappmossa
Bronshjon
Grönpyrola
Kattfotslav
Mörk husmossa
Vedticka
Revlummer</t>
        </is>
      </c>
      <c r="S23">
        <f>HYPERLINK("https://klasma.github.io/Logging_0581/artfynd/A 34351-2023.xlsx", "A 34351-2023")</f>
        <v/>
      </c>
      <c r="T23">
        <f>HYPERLINK("https://klasma.github.io/Logging_0581/kartor/A 34351-2023.png", "A 34351-2023")</f>
        <v/>
      </c>
      <c r="V23">
        <f>HYPERLINK("https://klasma.github.io/Logging_0581/klagomål/A 34351-2023.docx", "A 34351-2023")</f>
        <v/>
      </c>
      <c r="W23">
        <f>HYPERLINK("https://klasma.github.io/Logging_0581/klagomålsmail/A 34351-2023.docx", "A 34351-2023")</f>
        <v/>
      </c>
      <c r="X23">
        <f>HYPERLINK("https://klasma.github.io/Logging_0581/tillsyn/A 34351-2023.docx", "A 34351-2023")</f>
        <v/>
      </c>
      <c r="Y23">
        <f>HYPERLINK("https://klasma.github.io/Logging_0581/tillsynsmail/A 34351-2023.docx", "A 34351-2023")</f>
        <v/>
      </c>
    </row>
    <row r="24" ht="15" customHeight="1">
      <c r="A24" t="inlineStr">
        <is>
          <t>A 47241-2018</t>
        </is>
      </c>
      <c r="B24" s="1" t="n">
        <v>43367</v>
      </c>
      <c r="C24" s="1" t="n">
        <v>45211</v>
      </c>
      <c r="D24" t="inlineStr">
        <is>
          <t>ÖSTERGÖTLANDS LÄN</t>
        </is>
      </c>
      <c r="E24" t="inlineStr">
        <is>
          <t>ÅTVIDABERG</t>
        </is>
      </c>
      <c r="F24" t="inlineStr">
        <is>
          <t>Övriga Aktiebolag</t>
        </is>
      </c>
      <c r="G24" t="n">
        <v>29.1</v>
      </c>
      <c r="H24" t="n">
        <v>2</v>
      </c>
      <c r="I24" t="n">
        <v>5</v>
      </c>
      <c r="J24" t="n">
        <v>3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  <c r="P24" t="n">
        <v>0</v>
      </c>
      <c r="Q24" t="n">
        <v>9</v>
      </c>
      <c r="R24" s="2" t="inlineStr">
        <is>
          <t>Ekticka
Mindre hackspett
Vedskivlav
Blanksvart trämyra
Fällmossa
Gulpudrad spiklav
Platt fjädermossa
Sotlav
Blåsippa</t>
        </is>
      </c>
      <c r="S24">
        <f>HYPERLINK("https://klasma.github.io/Logging_0561/artfynd/A 47241-2018.xlsx", "A 47241-2018")</f>
        <v/>
      </c>
      <c r="T24">
        <f>HYPERLINK("https://klasma.github.io/Logging_0561/kartor/A 47241-2018.png", "A 47241-2018")</f>
        <v/>
      </c>
      <c r="V24">
        <f>HYPERLINK("https://klasma.github.io/Logging_0561/klagomål/A 47241-2018.docx", "A 47241-2018")</f>
        <v/>
      </c>
      <c r="W24">
        <f>HYPERLINK("https://klasma.github.io/Logging_0561/klagomålsmail/A 47241-2018.docx", "A 47241-2018")</f>
        <v/>
      </c>
      <c r="X24">
        <f>HYPERLINK("https://klasma.github.io/Logging_0561/tillsyn/A 47241-2018.docx", "A 47241-2018")</f>
        <v/>
      </c>
      <c r="Y24">
        <f>HYPERLINK("https://klasma.github.io/Logging_0561/tillsynsmail/A 47241-2018.docx", "A 47241-2018")</f>
        <v/>
      </c>
    </row>
    <row r="25" ht="15" customHeight="1">
      <c r="A25" t="inlineStr">
        <is>
          <t>A 3186-2019</t>
        </is>
      </c>
      <c r="B25" s="1" t="n">
        <v>43479</v>
      </c>
      <c r="C25" s="1" t="n">
        <v>45211</v>
      </c>
      <c r="D25" t="inlineStr">
        <is>
          <t>ÖSTERGÖTLANDS LÄN</t>
        </is>
      </c>
      <c r="E25" t="inlineStr">
        <is>
          <t>LINKÖPING</t>
        </is>
      </c>
      <c r="F25" t="inlineStr">
        <is>
          <t>Kommuner</t>
        </is>
      </c>
      <c r="G25" t="n">
        <v>5.7</v>
      </c>
      <c r="H25" t="n">
        <v>0</v>
      </c>
      <c r="I25" t="n">
        <v>2</v>
      </c>
      <c r="J25" t="n">
        <v>7</v>
      </c>
      <c r="K25" t="n">
        <v>0</v>
      </c>
      <c r="L25" t="n">
        <v>0</v>
      </c>
      <c r="M25" t="n">
        <v>0</v>
      </c>
      <c r="N25" t="n">
        <v>0</v>
      </c>
      <c r="O25" t="n">
        <v>7</v>
      </c>
      <c r="P25" t="n">
        <v>0</v>
      </c>
      <c r="Q25" t="n">
        <v>9</v>
      </c>
      <c r="R25" s="2" t="inlineStr">
        <is>
          <t>Ekticka
Grönhjon
Kolflarnlav
Reliktbock
Rosa skärelav
Tallticka
Ullticka
Granbarkgnagare
Trådticka</t>
        </is>
      </c>
      <c r="S25">
        <f>HYPERLINK("https://klasma.github.io/Logging_0580/artfynd/A 3186-2019.xlsx", "A 3186-2019")</f>
        <v/>
      </c>
      <c r="T25">
        <f>HYPERLINK("https://klasma.github.io/Logging_0580/kartor/A 3186-2019.png", "A 3186-2019")</f>
        <v/>
      </c>
      <c r="V25">
        <f>HYPERLINK("https://klasma.github.io/Logging_0580/klagomål/A 3186-2019.docx", "A 3186-2019")</f>
        <v/>
      </c>
      <c r="W25">
        <f>HYPERLINK("https://klasma.github.io/Logging_0580/klagomålsmail/A 3186-2019.docx", "A 3186-2019")</f>
        <v/>
      </c>
      <c r="X25">
        <f>HYPERLINK("https://klasma.github.io/Logging_0580/tillsyn/A 3186-2019.docx", "A 3186-2019")</f>
        <v/>
      </c>
      <c r="Y25">
        <f>HYPERLINK("https://klasma.github.io/Logging_0580/tillsynsmail/A 3186-2019.docx", "A 3186-2019")</f>
        <v/>
      </c>
    </row>
    <row r="26" ht="15" customHeight="1">
      <c r="A26" t="inlineStr">
        <is>
          <t>A 54154-2018</t>
        </is>
      </c>
      <c r="B26" s="1" t="n">
        <v>43392</v>
      </c>
      <c r="C26" s="1" t="n">
        <v>45211</v>
      </c>
      <c r="D26" t="inlineStr">
        <is>
          <t>ÖSTERGÖTLANDS LÄN</t>
        </is>
      </c>
      <c r="E26" t="inlineStr">
        <is>
          <t>FINSPÅNG</t>
        </is>
      </c>
      <c r="F26" t="inlineStr">
        <is>
          <t>Holmen skog AB</t>
        </is>
      </c>
      <c r="G26" t="n">
        <v>10.9</v>
      </c>
      <c r="H26" t="n">
        <v>0</v>
      </c>
      <c r="I26" t="n">
        <v>4</v>
      </c>
      <c r="J26" t="n">
        <v>4</v>
      </c>
      <c r="K26" t="n">
        <v>0</v>
      </c>
      <c r="L26" t="n">
        <v>0</v>
      </c>
      <c r="M26" t="n">
        <v>0</v>
      </c>
      <c r="N26" t="n">
        <v>0</v>
      </c>
      <c r="O26" t="n">
        <v>4</v>
      </c>
      <c r="P26" t="n">
        <v>0</v>
      </c>
      <c r="Q26" t="n">
        <v>8</v>
      </c>
      <c r="R26" s="2" t="inlineStr">
        <is>
          <t>Dvärgbägarlav
Motaggsvamp
Mörk kolflarnlav
Vedskivlav
Blomkålssvamp
Blåmossa
Dropptaggsvamp
Flagellkvastmossa</t>
        </is>
      </c>
      <c r="S26">
        <f>HYPERLINK("https://klasma.github.io/Logging_0562/artfynd/A 54154-2018.xlsx", "A 54154-2018")</f>
        <v/>
      </c>
      <c r="T26">
        <f>HYPERLINK("https://klasma.github.io/Logging_0562/kartor/A 54154-2018.png", "A 54154-2018")</f>
        <v/>
      </c>
      <c r="V26">
        <f>HYPERLINK("https://klasma.github.io/Logging_0562/klagomål/A 54154-2018.docx", "A 54154-2018")</f>
        <v/>
      </c>
      <c r="W26">
        <f>HYPERLINK("https://klasma.github.io/Logging_0562/klagomålsmail/A 54154-2018.docx", "A 54154-2018")</f>
        <v/>
      </c>
      <c r="X26">
        <f>HYPERLINK("https://klasma.github.io/Logging_0562/tillsyn/A 54154-2018.docx", "A 54154-2018")</f>
        <v/>
      </c>
      <c r="Y26">
        <f>HYPERLINK("https://klasma.github.io/Logging_0562/tillsynsmail/A 54154-2018.docx", "A 54154-2018")</f>
        <v/>
      </c>
    </row>
    <row r="27" ht="15" customHeight="1">
      <c r="A27" t="inlineStr">
        <is>
          <t>A 10102-2020</t>
        </is>
      </c>
      <c r="B27" s="1" t="n">
        <v>43887</v>
      </c>
      <c r="C27" s="1" t="n">
        <v>45211</v>
      </c>
      <c r="D27" t="inlineStr">
        <is>
          <t>ÖSTERGÖTLANDS LÄN</t>
        </is>
      </c>
      <c r="E27" t="inlineStr">
        <is>
          <t>MOTALA</t>
        </is>
      </c>
      <c r="F27" t="inlineStr">
        <is>
          <t>Sveaskog</t>
        </is>
      </c>
      <c r="G27" t="n">
        <v>4.9</v>
      </c>
      <c r="H27" t="n">
        <v>1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8</v>
      </c>
      <c r="R27" s="2" t="inlineStr">
        <is>
          <t>Klasefibbla
Loppstarr
Majviva
Skogsklocka
Sommarfibbla
Ängsstarr
Tvåblad
Underviol</t>
        </is>
      </c>
      <c r="S27">
        <f>HYPERLINK("https://klasma.github.io/Logging_0583/artfynd/A 10102-2020.xlsx", "A 10102-2020")</f>
        <v/>
      </c>
      <c r="T27">
        <f>HYPERLINK("https://klasma.github.io/Logging_0583/kartor/A 10102-2020.png", "A 10102-2020")</f>
        <v/>
      </c>
      <c r="V27">
        <f>HYPERLINK("https://klasma.github.io/Logging_0583/klagomål/A 10102-2020.docx", "A 10102-2020")</f>
        <v/>
      </c>
      <c r="W27">
        <f>HYPERLINK("https://klasma.github.io/Logging_0583/klagomålsmail/A 10102-2020.docx", "A 10102-2020")</f>
        <v/>
      </c>
      <c r="X27">
        <f>HYPERLINK("https://klasma.github.io/Logging_0583/tillsyn/A 10102-2020.docx", "A 10102-2020")</f>
        <v/>
      </c>
      <c r="Y27">
        <f>HYPERLINK("https://klasma.github.io/Logging_0583/tillsynsmail/A 10102-2020.docx", "A 10102-2020")</f>
        <v/>
      </c>
    </row>
    <row r="28" ht="15" customHeight="1">
      <c r="A28" t="inlineStr">
        <is>
          <t>A 50386-2022</t>
        </is>
      </c>
      <c r="B28" s="1" t="n">
        <v>44866</v>
      </c>
      <c r="C28" s="1" t="n">
        <v>45211</v>
      </c>
      <c r="D28" t="inlineStr">
        <is>
          <t>ÖSTERGÖTLANDS LÄN</t>
        </is>
      </c>
      <c r="E28" t="inlineStr">
        <is>
          <t>SÖDERKÖPING</t>
        </is>
      </c>
      <c r="G28" t="n">
        <v>3.9</v>
      </c>
      <c r="H28" t="n">
        <v>0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2</v>
      </c>
      <c r="P28" t="n">
        <v>0</v>
      </c>
      <c r="Q28" t="n">
        <v>8</v>
      </c>
      <c r="R28" s="2" t="inlineStr">
        <is>
          <t>Rosa skärelav
Tallticka
Bronshjon
Granbarkgnagare
Kattfotslav
Kornig nållav
Kornknutmossa
Stubbspretmossa</t>
        </is>
      </c>
      <c r="S28">
        <f>HYPERLINK("https://klasma.github.io/Logging_0582/artfynd/A 50386-2022.xlsx", "A 50386-2022")</f>
        <v/>
      </c>
      <c r="T28">
        <f>HYPERLINK("https://klasma.github.io/Logging_0582/kartor/A 50386-2022.png", "A 50386-2022")</f>
        <v/>
      </c>
      <c r="V28">
        <f>HYPERLINK("https://klasma.github.io/Logging_0582/klagomål/A 50386-2022.docx", "A 50386-2022")</f>
        <v/>
      </c>
      <c r="W28">
        <f>HYPERLINK("https://klasma.github.io/Logging_0582/klagomålsmail/A 50386-2022.docx", "A 50386-2022")</f>
        <v/>
      </c>
      <c r="X28">
        <f>HYPERLINK("https://klasma.github.io/Logging_0582/tillsyn/A 50386-2022.docx", "A 50386-2022")</f>
        <v/>
      </c>
      <c r="Y28">
        <f>HYPERLINK("https://klasma.github.io/Logging_0582/tillsynsmail/A 50386-2022.docx", "A 50386-2022")</f>
        <v/>
      </c>
    </row>
    <row r="29" ht="15" customHeight="1">
      <c r="A29" t="inlineStr">
        <is>
          <t>A 47184-2019</t>
        </is>
      </c>
      <c r="B29" s="1" t="n">
        <v>43720</v>
      </c>
      <c r="C29" s="1" t="n">
        <v>45211</v>
      </c>
      <c r="D29" t="inlineStr">
        <is>
          <t>ÖSTERGÖTLANDS LÄN</t>
        </is>
      </c>
      <c r="E29" t="inlineStr">
        <is>
          <t>MOTALA</t>
        </is>
      </c>
      <c r="G29" t="n">
        <v>5.5</v>
      </c>
      <c r="H29" t="n">
        <v>1</v>
      </c>
      <c r="I29" t="n">
        <v>5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1</v>
      </c>
      <c r="Q29" t="n">
        <v>7</v>
      </c>
      <c r="R29" s="2" t="inlineStr">
        <is>
          <t>Knärot
Vedtrappmossa
Blomkålssvamp
Kornknutmossa
Stor revmossa
Vedticka
Västlig hakmossa</t>
        </is>
      </c>
      <c r="S29">
        <f>HYPERLINK("https://klasma.github.io/Logging_0583/artfynd/A 47184-2019.xlsx", "A 47184-2019")</f>
        <v/>
      </c>
      <c r="T29">
        <f>HYPERLINK("https://klasma.github.io/Logging_0583/kartor/A 47184-2019.png", "A 47184-2019")</f>
        <v/>
      </c>
      <c r="U29">
        <f>HYPERLINK("https://klasma.github.io/Logging_0583/knärot/A 47184-2019.png", "A 47184-2019")</f>
        <v/>
      </c>
      <c r="V29">
        <f>HYPERLINK("https://klasma.github.io/Logging_0583/klagomål/A 47184-2019.docx", "A 47184-2019")</f>
        <v/>
      </c>
      <c r="W29">
        <f>HYPERLINK("https://klasma.github.io/Logging_0583/klagomålsmail/A 47184-2019.docx", "A 47184-2019")</f>
        <v/>
      </c>
      <c r="X29">
        <f>HYPERLINK("https://klasma.github.io/Logging_0583/tillsyn/A 47184-2019.docx", "A 47184-2019")</f>
        <v/>
      </c>
      <c r="Y29">
        <f>HYPERLINK("https://klasma.github.io/Logging_0583/tillsynsmail/A 47184-2019.docx", "A 47184-2019")</f>
        <v/>
      </c>
    </row>
    <row r="30" ht="15" customHeight="1">
      <c r="A30" t="inlineStr">
        <is>
          <t>A 12489-2020</t>
        </is>
      </c>
      <c r="B30" s="1" t="n">
        <v>43896</v>
      </c>
      <c r="C30" s="1" t="n">
        <v>45211</v>
      </c>
      <c r="D30" t="inlineStr">
        <is>
          <t>ÖSTERGÖTLANDS LÄN</t>
        </is>
      </c>
      <c r="E30" t="inlineStr">
        <is>
          <t>LINKÖPING</t>
        </is>
      </c>
      <c r="F30" t="inlineStr">
        <is>
          <t>Övriga Aktiebolag</t>
        </is>
      </c>
      <c r="G30" t="n">
        <v>18.5</v>
      </c>
      <c r="H30" t="n">
        <v>1</v>
      </c>
      <c r="I30" t="n">
        <v>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</v>
      </c>
      <c r="R30" s="2" t="inlineStr">
        <is>
          <t>Brandticka
Fällmossa
Platt fjädermossa
Stubbspretmossa
Svart trolldruva
Tibast
Blåsippa</t>
        </is>
      </c>
      <c r="S30">
        <f>HYPERLINK("https://klasma.github.io/Logging_0580/artfynd/A 12489-2020.xlsx", "A 12489-2020")</f>
        <v/>
      </c>
      <c r="T30">
        <f>HYPERLINK("https://klasma.github.io/Logging_0580/kartor/A 12489-2020.png", "A 12489-2020")</f>
        <v/>
      </c>
      <c r="V30">
        <f>HYPERLINK("https://klasma.github.io/Logging_0580/klagomål/A 12489-2020.docx", "A 12489-2020")</f>
        <v/>
      </c>
      <c r="W30">
        <f>HYPERLINK("https://klasma.github.io/Logging_0580/klagomålsmail/A 12489-2020.docx", "A 12489-2020")</f>
        <v/>
      </c>
      <c r="X30">
        <f>HYPERLINK("https://klasma.github.io/Logging_0580/tillsyn/A 12489-2020.docx", "A 12489-2020")</f>
        <v/>
      </c>
      <c r="Y30">
        <f>HYPERLINK("https://klasma.github.io/Logging_0580/tillsynsmail/A 12489-2020.docx", "A 12489-2020")</f>
        <v/>
      </c>
    </row>
    <row r="31" ht="15" customHeight="1">
      <c r="A31" t="inlineStr">
        <is>
          <t>A 57042-2021</t>
        </is>
      </c>
      <c r="B31" s="1" t="n">
        <v>44482</v>
      </c>
      <c r="C31" s="1" t="n">
        <v>45211</v>
      </c>
      <c r="D31" t="inlineStr">
        <is>
          <t>ÖSTERGÖTLANDS LÄN</t>
        </is>
      </c>
      <c r="E31" t="inlineStr">
        <is>
          <t>MJÖLBY</t>
        </is>
      </c>
      <c r="G31" t="n">
        <v>8.800000000000001</v>
      </c>
      <c r="H31" t="n">
        <v>0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0</v>
      </c>
      <c r="O31" t="n">
        <v>5</v>
      </c>
      <c r="P31" t="n">
        <v>0</v>
      </c>
      <c r="Q31" t="n">
        <v>7</v>
      </c>
      <c r="R31" s="2" t="inlineStr">
        <is>
          <t>Gransotdyna
Tallticka
Ullticka
Vedskivlav
Vedtrappmossa
Flagellkvastmossa
Kattfotslav</t>
        </is>
      </c>
      <c r="S31">
        <f>HYPERLINK("https://klasma.github.io/Logging_0586/artfynd/A 57042-2021.xlsx", "A 57042-2021")</f>
        <v/>
      </c>
      <c r="T31">
        <f>HYPERLINK("https://klasma.github.io/Logging_0586/kartor/A 57042-2021.png", "A 57042-2021")</f>
        <v/>
      </c>
      <c r="V31">
        <f>HYPERLINK("https://klasma.github.io/Logging_0586/klagomål/A 57042-2021.docx", "A 57042-2021")</f>
        <v/>
      </c>
      <c r="W31">
        <f>HYPERLINK("https://klasma.github.io/Logging_0586/klagomålsmail/A 57042-2021.docx", "A 57042-2021")</f>
        <v/>
      </c>
      <c r="X31">
        <f>HYPERLINK("https://klasma.github.io/Logging_0586/tillsyn/A 57042-2021.docx", "A 57042-2021")</f>
        <v/>
      </c>
      <c r="Y31">
        <f>HYPERLINK("https://klasma.github.io/Logging_0586/tillsynsmail/A 57042-2021.docx", "A 57042-2021")</f>
        <v/>
      </c>
    </row>
    <row r="32" ht="15" customHeight="1">
      <c r="A32" t="inlineStr">
        <is>
          <t>A 6175-2022</t>
        </is>
      </c>
      <c r="B32" s="1" t="n">
        <v>44599</v>
      </c>
      <c r="C32" s="1" t="n">
        <v>45211</v>
      </c>
      <c r="D32" t="inlineStr">
        <is>
          <t>ÖSTERGÖTLANDS LÄN</t>
        </is>
      </c>
      <c r="E32" t="inlineStr">
        <is>
          <t>FINSPÅNG</t>
        </is>
      </c>
      <c r="G32" t="n">
        <v>3.8</v>
      </c>
      <c r="H32" t="n">
        <v>1</v>
      </c>
      <c r="I32" t="n">
        <v>3</v>
      </c>
      <c r="J32" t="n">
        <v>3</v>
      </c>
      <c r="K32" t="n">
        <v>0</v>
      </c>
      <c r="L32" t="n">
        <v>0</v>
      </c>
      <c r="M32" t="n">
        <v>0</v>
      </c>
      <c r="N32" t="n">
        <v>0</v>
      </c>
      <c r="O32" t="n">
        <v>3</v>
      </c>
      <c r="P32" t="n">
        <v>0</v>
      </c>
      <c r="Q32" t="n">
        <v>7</v>
      </c>
      <c r="R32" s="2" t="inlineStr">
        <is>
          <t>Ekticka
Rosa skärelav
Tallticka
Grönpyrola
Kornknutmossa
Mindre märgborre
Blåsippa</t>
        </is>
      </c>
      <c r="S32">
        <f>HYPERLINK("https://klasma.github.io/Logging_0562/artfynd/A 6175-2022.xlsx", "A 6175-2022")</f>
        <v/>
      </c>
      <c r="T32">
        <f>HYPERLINK("https://klasma.github.io/Logging_0562/kartor/A 6175-2022.png", "A 6175-2022")</f>
        <v/>
      </c>
      <c r="V32">
        <f>HYPERLINK("https://klasma.github.io/Logging_0562/klagomål/A 6175-2022.docx", "A 6175-2022")</f>
        <v/>
      </c>
      <c r="W32">
        <f>HYPERLINK("https://klasma.github.io/Logging_0562/klagomålsmail/A 6175-2022.docx", "A 6175-2022")</f>
        <v/>
      </c>
      <c r="X32">
        <f>HYPERLINK("https://klasma.github.io/Logging_0562/tillsyn/A 6175-2022.docx", "A 6175-2022")</f>
        <v/>
      </c>
      <c r="Y32">
        <f>HYPERLINK("https://klasma.github.io/Logging_0562/tillsynsmail/A 6175-2022.docx", "A 6175-2022")</f>
        <v/>
      </c>
    </row>
    <row r="33" ht="15" customHeight="1">
      <c r="A33" t="inlineStr">
        <is>
          <t>A 13129-2022</t>
        </is>
      </c>
      <c r="B33" s="1" t="n">
        <v>44644</v>
      </c>
      <c r="C33" s="1" t="n">
        <v>45211</v>
      </c>
      <c r="D33" t="inlineStr">
        <is>
          <t>ÖSTERGÖTLANDS LÄN</t>
        </is>
      </c>
      <c r="E33" t="inlineStr">
        <is>
          <t>SÖDERKÖPING</t>
        </is>
      </c>
      <c r="G33" t="n">
        <v>3.1</v>
      </c>
      <c r="H33" t="n">
        <v>1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0</v>
      </c>
      <c r="O33" t="n">
        <v>5</v>
      </c>
      <c r="P33" t="n">
        <v>0</v>
      </c>
      <c r="Q33" t="n">
        <v>7</v>
      </c>
      <c r="R33" s="2" t="inlineStr">
        <is>
          <t>Gammelekslav
Oxtungssvamp
Rosa skärelav
Skuggorangelav
Tallticka
Blåmossa
Gullviva</t>
        </is>
      </c>
      <c r="S33">
        <f>HYPERLINK("https://klasma.github.io/Logging_0582/artfynd/A 13129-2022.xlsx", "A 13129-2022")</f>
        <v/>
      </c>
      <c r="T33">
        <f>HYPERLINK("https://klasma.github.io/Logging_0582/kartor/A 13129-2022.png", "A 13129-2022")</f>
        <v/>
      </c>
      <c r="V33">
        <f>HYPERLINK("https://klasma.github.io/Logging_0582/klagomål/A 13129-2022.docx", "A 13129-2022")</f>
        <v/>
      </c>
      <c r="W33">
        <f>HYPERLINK("https://klasma.github.io/Logging_0582/klagomålsmail/A 13129-2022.docx", "A 13129-2022")</f>
        <v/>
      </c>
      <c r="X33">
        <f>HYPERLINK("https://klasma.github.io/Logging_0582/tillsyn/A 13129-2022.docx", "A 13129-2022")</f>
        <v/>
      </c>
      <c r="Y33">
        <f>HYPERLINK("https://klasma.github.io/Logging_0582/tillsynsmail/A 13129-2022.docx", "A 13129-2022")</f>
        <v/>
      </c>
    </row>
    <row r="34" ht="15" customHeight="1">
      <c r="A34" t="inlineStr">
        <is>
          <t>A 18029-2022</t>
        </is>
      </c>
      <c r="B34" s="1" t="n">
        <v>44683</v>
      </c>
      <c r="C34" s="1" t="n">
        <v>45211</v>
      </c>
      <c r="D34" t="inlineStr">
        <is>
          <t>ÖSTERGÖTLANDS LÄN</t>
        </is>
      </c>
      <c r="E34" t="inlineStr">
        <is>
          <t>VADSTENA</t>
        </is>
      </c>
      <c r="G34" t="n">
        <v>13.8</v>
      </c>
      <c r="H34" t="n">
        <v>3</v>
      </c>
      <c r="I34" t="n">
        <v>3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2</v>
      </c>
      <c r="P34" t="n">
        <v>1</v>
      </c>
      <c r="Q34" t="n">
        <v>7</v>
      </c>
      <c r="R34" s="2" t="inlineStr">
        <is>
          <t>Skogsalm
Jordtistel
Svart trolldruva
Tvåblad
Underviol
Fläcknycklar
Blåsippa</t>
        </is>
      </c>
      <c r="S34">
        <f>HYPERLINK("https://klasma.github.io/Logging_0584/artfynd/A 18029-2022.xlsx", "A 18029-2022")</f>
        <v/>
      </c>
      <c r="T34">
        <f>HYPERLINK("https://klasma.github.io/Logging_0584/kartor/A 18029-2022.png", "A 18029-2022")</f>
        <v/>
      </c>
      <c r="V34">
        <f>HYPERLINK("https://klasma.github.io/Logging_0584/klagomål/A 18029-2022.docx", "A 18029-2022")</f>
        <v/>
      </c>
      <c r="W34">
        <f>HYPERLINK("https://klasma.github.io/Logging_0584/klagomålsmail/A 18029-2022.docx", "A 18029-2022")</f>
        <v/>
      </c>
      <c r="X34">
        <f>HYPERLINK("https://klasma.github.io/Logging_0584/tillsyn/A 18029-2022.docx", "A 18029-2022")</f>
        <v/>
      </c>
      <c r="Y34">
        <f>HYPERLINK("https://klasma.github.io/Logging_0584/tillsynsmail/A 18029-2022.docx", "A 18029-2022")</f>
        <v/>
      </c>
    </row>
    <row r="35" ht="15" customHeight="1">
      <c r="A35" t="inlineStr">
        <is>
          <t>A 55783-2022</t>
        </is>
      </c>
      <c r="B35" s="1" t="n">
        <v>44888</v>
      </c>
      <c r="C35" s="1" t="n">
        <v>45211</v>
      </c>
      <c r="D35" t="inlineStr">
        <is>
          <t>ÖSTERGÖTLANDS LÄN</t>
        </is>
      </c>
      <c r="E35" t="inlineStr">
        <is>
          <t>LINKÖPING</t>
        </is>
      </c>
      <c r="G35" t="n">
        <v>0.8</v>
      </c>
      <c r="H35" t="n">
        <v>1</v>
      </c>
      <c r="I35" t="n">
        <v>4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  <c r="O35" t="n">
        <v>2</v>
      </c>
      <c r="P35" t="n">
        <v>1</v>
      </c>
      <c r="Q35" t="n">
        <v>7</v>
      </c>
      <c r="R35" s="2" t="inlineStr">
        <is>
          <t>Ask
Svinrot
Fällmossa
Tibast
Underviol
Vårärt
Gullviva</t>
        </is>
      </c>
      <c r="S35">
        <f>HYPERLINK("https://klasma.github.io/Logging_0580/artfynd/A 55783-2022.xlsx", "A 55783-2022")</f>
        <v/>
      </c>
      <c r="T35">
        <f>HYPERLINK("https://klasma.github.io/Logging_0580/kartor/A 55783-2022.png", "A 55783-2022")</f>
        <v/>
      </c>
      <c r="V35">
        <f>HYPERLINK("https://klasma.github.io/Logging_0580/klagomål/A 55783-2022.docx", "A 55783-2022")</f>
        <v/>
      </c>
      <c r="W35">
        <f>HYPERLINK("https://klasma.github.io/Logging_0580/klagomålsmail/A 55783-2022.docx", "A 55783-2022")</f>
        <v/>
      </c>
      <c r="X35">
        <f>HYPERLINK("https://klasma.github.io/Logging_0580/tillsyn/A 55783-2022.docx", "A 55783-2022")</f>
        <v/>
      </c>
      <c r="Y35">
        <f>HYPERLINK("https://klasma.github.io/Logging_0580/tillsynsmail/A 55783-2022.docx", "A 55783-2022")</f>
        <v/>
      </c>
    </row>
    <row r="36" ht="15" customHeight="1">
      <c r="A36" t="inlineStr">
        <is>
          <t>A 3382-2023</t>
        </is>
      </c>
      <c r="B36" s="1" t="n">
        <v>44949</v>
      </c>
      <c r="C36" s="1" t="n">
        <v>45211</v>
      </c>
      <c r="D36" t="inlineStr">
        <is>
          <t>ÖSTERGÖTLANDS LÄN</t>
        </is>
      </c>
      <c r="E36" t="inlineStr">
        <is>
          <t>ÅTVIDABERG</t>
        </is>
      </c>
      <c r="G36" t="n">
        <v>2.9</v>
      </c>
      <c r="H36" t="n">
        <v>2</v>
      </c>
      <c r="I36" t="n">
        <v>1</v>
      </c>
      <c r="J36" t="n">
        <v>5</v>
      </c>
      <c r="K36" t="n">
        <v>1</v>
      </c>
      <c r="L36" t="n">
        <v>0</v>
      </c>
      <c r="M36" t="n">
        <v>0</v>
      </c>
      <c r="N36" t="n">
        <v>0</v>
      </c>
      <c r="O36" t="n">
        <v>6</v>
      </c>
      <c r="P36" t="n">
        <v>1</v>
      </c>
      <c r="Q36" t="n">
        <v>7</v>
      </c>
      <c r="R36" s="2" t="inlineStr">
        <is>
          <t>Knärot
Kilporing
Spillkråka
Tallticka
Ullticka
Vedskivlav
Bronshjon</t>
        </is>
      </c>
      <c r="S36">
        <f>HYPERLINK("https://klasma.github.io/Logging_0561/artfynd/A 3382-2023.xlsx", "A 3382-2023")</f>
        <v/>
      </c>
      <c r="T36">
        <f>HYPERLINK("https://klasma.github.io/Logging_0561/kartor/A 3382-2023.png", "A 3382-2023")</f>
        <v/>
      </c>
      <c r="U36">
        <f>HYPERLINK("https://klasma.github.io/Logging_0561/knärot/A 3382-2023.png", "A 3382-2023")</f>
        <v/>
      </c>
      <c r="V36">
        <f>HYPERLINK("https://klasma.github.io/Logging_0561/klagomål/A 3382-2023.docx", "A 3382-2023")</f>
        <v/>
      </c>
      <c r="W36">
        <f>HYPERLINK("https://klasma.github.io/Logging_0561/klagomålsmail/A 3382-2023.docx", "A 3382-2023")</f>
        <v/>
      </c>
      <c r="X36">
        <f>HYPERLINK("https://klasma.github.io/Logging_0561/tillsyn/A 3382-2023.docx", "A 3382-2023")</f>
        <v/>
      </c>
      <c r="Y36">
        <f>HYPERLINK("https://klasma.github.io/Logging_0561/tillsynsmail/A 3382-2023.docx", "A 3382-2023")</f>
        <v/>
      </c>
    </row>
    <row r="37" ht="15" customHeight="1">
      <c r="A37" t="inlineStr">
        <is>
          <t>A 24774-2020</t>
        </is>
      </c>
      <c r="B37" s="1" t="n">
        <v>43978</v>
      </c>
      <c r="C37" s="1" t="n">
        <v>45211</v>
      </c>
      <c r="D37" t="inlineStr">
        <is>
          <t>ÖSTERGÖTLANDS LÄN</t>
        </is>
      </c>
      <c r="E37" t="inlineStr">
        <is>
          <t>MOTALA</t>
        </is>
      </c>
      <c r="F37" t="inlineStr">
        <is>
          <t>Sveaskog</t>
        </is>
      </c>
      <c r="G37" t="n">
        <v>6.4</v>
      </c>
      <c r="H37" t="n">
        <v>2</v>
      </c>
      <c r="I37" t="n">
        <v>1</v>
      </c>
      <c r="J37" t="n">
        <v>1</v>
      </c>
      <c r="K37" t="n">
        <v>2</v>
      </c>
      <c r="L37" t="n">
        <v>1</v>
      </c>
      <c r="M37" t="n">
        <v>0</v>
      </c>
      <c r="N37" t="n">
        <v>0</v>
      </c>
      <c r="O37" t="n">
        <v>4</v>
      </c>
      <c r="P37" t="n">
        <v>3</v>
      </c>
      <c r="Q37" t="n">
        <v>6</v>
      </c>
      <c r="R37" s="2" t="inlineStr">
        <is>
          <t>Ask
Knärot
Laxporing
Vedskivlav
Källpraktmossa
Blåsippa</t>
        </is>
      </c>
      <c r="S37">
        <f>HYPERLINK("https://klasma.github.io/Logging_0583/artfynd/A 24774-2020.xlsx", "A 24774-2020")</f>
        <v/>
      </c>
      <c r="T37">
        <f>HYPERLINK("https://klasma.github.io/Logging_0583/kartor/A 24774-2020.png", "A 24774-2020")</f>
        <v/>
      </c>
      <c r="U37">
        <f>HYPERLINK("https://klasma.github.io/Logging_0583/knärot/A 24774-2020.png", "A 24774-2020")</f>
        <v/>
      </c>
      <c r="V37">
        <f>HYPERLINK("https://klasma.github.io/Logging_0583/klagomål/A 24774-2020.docx", "A 24774-2020")</f>
        <v/>
      </c>
      <c r="W37">
        <f>HYPERLINK("https://klasma.github.io/Logging_0583/klagomålsmail/A 24774-2020.docx", "A 24774-2020")</f>
        <v/>
      </c>
      <c r="X37">
        <f>HYPERLINK("https://klasma.github.io/Logging_0583/tillsyn/A 24774-2020.docx", "A 24774-2020")</f>
        <v/>
      </c>
      <c r="Y37">
        <f>HYPERLINK("https://klasma.github.io/Logging_0583/tillsynsmail/A 24774-2020.docx", "A 24774-2020")</f>
        <v/>
      </c>
    </row>
    <row r="38" ht="15" customHeight="1">
      <c r="A38" t="inlineStr">
        <is>
          <t>A 66948-2020</t>
        </is>
      </c>
      <c r="B38" s="1" t="n">
        <v>44180</v>
      </c>
      <c r="C38" s="1" t="n">
        <v>45211</v>
      </c>
      <c r="D38" t="inlineStr">
        <is>
          <t>ÖSTERGÖTLANDS LÄN</t>
        </is>
      </c>
      <c r="E38" t="inlineStr">
        <is>
          <t>LINKÖPING</t>
        </is>
      </c>
      <c r="G38" t="n">
        <v>1.6</v>
      </c>
      <c r="H38" t="n">
        <v>0</v>
      </c>
      <c r="I38" t="n">
        <v>3</v>
      </c>
      <c r="J38" t="n">
        <v>1</v>
      </c>
      <c r="K38" t="n">
        <v>1</v>
      </c>
      <c r="L38" t="n">
        <v>0</v>
      </c>
      <c r="M38" t="n">
        <v>1</v>
      </c>
      <c r="N38" t="n">
        <v>0</v>
      </c>
      <c r="O38" t="n">
        <v>3</v>
      </c>
      <c r="P38" t="n">
        <v>2</v>
      </c>
      <c r="Q38" t="n">
        <v>6</v>
      </c>
      <c r="R38" s="2" t="inlineStr">
        <is>
          <t>Skogsalm
Vesslefibbla
Lunglav
Fällmossa
Platt fjädermossa
Trubbfjädermossa</t>
        </is>
      </c>
      <c r="S38">
        <f>HYPERLINK("https://klasma.github.io/Logging_0580/artfynd/A 66948-2020.xlsx", "A 66948-2020")</f>
        <v/>
      </c>
      <c r="T38">
        <f>HYPERLINK("https://klasma.github.io/Logging_0580/kartor/A 66948-2020.png", "A 66948-2020")</f>
        <v/>
      </c>
      <c r="V38">
        <f>HYPERLINK("https://klasma.github.io/Logging_0580/klagomål/A 66948-2020.docx", "A 66948-2020")</f>
        <v/>
      </c>
      <c r="W38">
        <f>HYPERLINK("https://klasma.github.io/Logging_0580/klagomålsmail/A 66948-2020.docx", "A 66948-2020")</f>
        <v/>
      </c>
      <c r="X38">
        <f>HYPERLINK("https://klasma.github.io/Logging_0580/tillsyn/A 66948-2020.docx", "A 66948-2020")</f>
        <v/>
      </c>
      <c r="Y38">
        <f>HYPERLINK("https://klasma.github.io/Logging_0580/tillsynsmail/A 66948-2020.docx", "A 66948-2020")</f>
        <v/>
      </c>
    </row>
    <row r="39" ht="15" customHeight="1">
      <c r="A39" t="inlineStr">
        <is>
          <t>A 16473-2021</t>
        </is>
      </c>
      <c r="B39" s="1" t="n">
        <v>44293</v>
      </c>
      <c r="C39" s="1" t="n">
        <v>45211</v>
      </c>
      <c r="D39" t="inlineStr">
        <is>
          <t>ÖSTERGÖTLANDS LÄN</t>
        </is>
      </c>
      <c r="E39" t="inlineStr">
        <is>
          <t>LINKÖPING</t>
        </is>
      </c>
      <c r="F39" t="inlineStr">
        <is>
          <t>Kommuner</t>
        </is>
      </c>
      <c r="G39" t="n">
        <v>6.5</v>
      </c>
      <c r="H39" t="n">
        <v>2</v>
      </c>
      <c r="I39" t="n">
        <v>1</v>
      </c>
      <c r="J39" t="n">
        <v>2</v>
      </c>
      <c r="K39" t="n">
        <v>2</v>
      </c>
      <c r="L39" t="n">
        <v>0</v>
      </c>
      <c r="M39" t="n">
        <v>0</v>
      </c>
      <c r="N39" t="n">
        <v>0</v>
      </c>
      <c r="O39" t="n">
        <v>4</v>
      </c>
      <c r="P39" t="n">
        <v>2</v>
      </c>
      <c r="Q39" t="n">
        <v>6</v>
      </c>
      <c r="R39" s="2" t="inlineStr">
        <is>
          <t>Bombmurkla
Gyllensopp
Persiljespindling
Tallticka
Trådticka
Blåsippa</t>
        </is>
      </c>
      <c r="S39">
        <f>HYPERLINK("https://klasma.github.io/Logging_0580/artfynd/A 16473-2021.xlsx", "A 16473-2021")</f>
        <v/>
      </c>
      <c r="T39">
        <f>HYPERLINK("https://klasma.github.io/Logging_0580/kartor/A 16473-2021.png", "A 16473-2021")</f>
        <v/>
      </c>
      <c r="V39">
        <f>HYPERLINK("https://klasma.github.io/Logging_0580/klagomål/A 16473-2021.docx", "A 16473-2021")</f>
        <v/>
      </c>
      <c r="W39">
        <f>HYPERLINK("https://klasma.github.io/Logging_0580/klagomålsmail/A 16473-2021.docx", "A 16473-2021")</f>
        <v/>
      </c>
      <c r="X39">
        <f>HYPERLINK("https://klasma.github.io/Logging_0580/tillsyn/A 16473-2021.docx", "A 16473-2021")</f>
        <v/>
      </c>
      <c r="Y39">
        <f>HYPERLINK("https://klasma.github.io/Logging_0580/tillsynsmail/A 16473-2021.docx", "A 16473-2021")</f>
        <v/>
      </c>
    </row>
    <row r="40" ht="15" customHeight="1">
      <c r="A40" t="inlineStr">
        <is>
          <t>A 1076-2022</t>
        </is>
      </c>
      <c r="B40" s="1" t="n">
        <v>44571</v>
      </c>
      <c r="C40" s="1" t="n">
        <v>45211</v>
      </c>
      <c r="D40" t="inlineStr">
        <is>
          <t>ÖSTERGÖTLANDS LÄN</t>
        </is>
      </c>
      <c r="E40" t="inlineStr">
        <is>
          <t>VALDEMARSVIK</t>
        </is>
      </c>
      <c r="G40" t="n">
        <v>2.6</v>
      </c>
      <c r="H40" t="n">
        <v>1</v>
      </c>
      <c r="I40" t="n">
        <v>3</v>
      </c>
      <c r="J40" t="n">
        <v>2</v>
      </c>
      <c r="K40" t="n">
        <v>1</v>
      </c>
      <c r="L40" t="n">
        <v>0</v>
      </c>
      <c r="M40" t="n">
        <v>0</v>
      </c>
      <c r="N40" t="n">
        <v>0</v>
      </c>
      <c r="O40" t="n">
        <v>3</v>
      </c>
      <c r="P40" t="n">
        <v>1</v>
      </c>
      <c r="Q40" t="n">
        <v>6</v>
      </c>
      <c r="R40" s="2" t="inlineStr">
        <is>
          <t>Knärot
Tallticka
Vedskivlav
Blåmossa
Dropptaggsvamp
Grönpyrola</t>
        </is>
      </c>
      <c r="S40">
        <f>HYPERLINK("https://klasma.github.io/Logging_0563/artfynd/A 1076-2022.xlsx", "A 1076-2022")</f>
        <v/>
      </c>
      <c r="T40">
        <f>HYPERLINK("https://klasma.github.io/Logging_0563/kartor/A 1076-2022.png", "A 1076-2022")</f>
        <v/>
      </c>
      <c r="U40">
        <f>HYPERLINK("https://klasma.github.io/Logging_0563/knärot/A 1076-2022.png", "A 1076-2022")</f>
        <v/>
      </c>
      <c r="V40">
        <f>HYPERLINK("https://klasma.github.io/Logging_0563/klagomål/A 1076-2022.docx", "A 1076-2022")</f>
        <v/>
      </c>
      <c r="W40">
        <f>HYPERLINK("https://klasma.github.io/Logging_0563/klagomålsmail/A 1076-2022.docx", "A 1076-2022")</f>
        <v/>
      </c>
      <c r="X40">
        <f>HYPERLINK("https://klasma.github.io/Logging_0563/tillsyn/A 1076-2022.docx", "A 1076-2022")</f>
        <v/>
      </c>
      <c r="Y40">
        <f>HYPERLINK("https://klasma.github.io/Logging_0563/tillsynsmail/A 1076-2022.docx", "A 1076-2022")</f>
        <v/>
      </c>
    </row>
    <row r="41" ht="15" customHeight="1">
      <c r="A41" t="inlineStr">
        <is>
          <t>A 2055-2022</t>
        </is>
      </c>
      <c r="B41" s="1" t="n">
        <v>44575</v>
      </c>
      <c r="C41" s="1" t="n">
        <v>45211</v>
      </c>
      <c r="D41" t="inlineStr">
        <is>
          <t>ÖSTERGÖTLANDS LÄN</t>
        </is>
      </c>
      <c r="E41" t="inlineStr">
        <is>
          <t>KINDA</t>
        </is>
      </c>
      <c r="G41" t="n">
        <v>6.1</v>
      </c>
      <c r="H41" t="n">
        <v>1</v>
      </c>
      <c r="I41" t="n">
        <v>2</v>
      </c>
      <c r="J41" t="n">
        <v>3</v>
      </c>
      <c r="K41" t="n">
        <v>1</v>
      </c>
      <c r="L41" t="n">
        <v>0</v>
      </c>
      <c r="M41" t="n">
        <v>0</v>
      </c>
      <c r="N41" t="n">
        <v>0</v>
      </c>
      <c r="O41" t="n">
        <v>4</v>
      </c>
      <c r="P41" t="n">
        <v>1</v>
      </c>
      <c r="Q41" t="n">
        <v>6</v>
      </c>
      <c r="R41" s="2" t="inlineStr">
        <is>
          <t>Knärot
Granticka
Tallticka
Ullticka
Granbarkgnagare
Mindre märgborre</t>
        </is>
      </c>
      <c r="S41">
        <f>HYPERLINK("https://klasma.github.io/Logging_0513/artfynd/A 2055-2022.xlsx", "A 2055-2022")</f>
        <v/>
      </c>
      <c r="T41">
        <f>HYPERLINK("https://klasma.github.io/Logging_0513/kartor/A 2055-2022.png", "A 2055-2022")</f>
        <v/>
      </c>
      <c r="U41">
        <f>HYPERLINK("https://klasma.github.io/Logging_0513/knärot/A 2055-2022.png", "A 2055-2022")</f>
        <v/>
      </c>
      <c r="V41">
        <f>HYPERLINK("https://klasma.github.io/Logging_0513/klagomål/A 2055-2022.docx", "A 2055-2022")</f>
        <v/>
      </c>
      <c r="W41">
        <f>HYPERLINK("https://klasma.github.io/Logging_0513/klagomålsmail/A 2055-2022.docx", "A 2055-2022")</f>
        <v/>
      </c>
      <c r="X41">
        <f>HYPERLINK("https://klasma.github.io/Logging_0513/tillsyn/A 2055-2022.docx", "A 2055-2022")</f>
        <v/>
      </c>
      <c r="Y41">
        <f>HYPERLINK("https://klasma.github.io/Logging_0513/tillsynsmail/A 2055-2022.docx", "A 2055-2022")</f>
        <v/>
      </c>
    </row>
    <row r="42" ht="15" customHeight="1">
      <c r="A42" t="inlineStr">
        <is>
          <t>A 30637-2022</t>
        </is>
      </c>
      <c r="B42" s="1" t="n">
        <v>44763</v>
      </c>
      <c r="C42" s="1" t="n">
        <v>45211</v>
      </c>
      <c r="D42" t="inlineStr">
        <is>
          <t>ÖSTERGÖTLANDS LÄN</t>
        </is>
      </c>
      <c r="E42" t="inlineStr">
        <is>
          <t>MOTALA</t>
        </is>
      </c>
      <c r="F42" t="inlineStr">
        <is>
          <t>Sveaskog</t>
        </is>
      </c>
      <c r="G42" t="n">
        <v>5.1</v>
      </c>
      <c r="H42" t="n">
        <v>2</v>
      </c>
      <c r="I42" t="n">
        <v>2</v>
      </c>
      <c r="J42" t="n">
        <v>2</v>
      </c>
      <c r="K42" t="n">
        <v>1</v>
      </c>
      <c r="L42" t="n">
        <v>0</v>
      </c>
      <c r="M42" t="n">
        <v>0</v>
      </c>
      <c r="N42" t="n">
        <v>0</v>
      </c>
      <c r="O42" t="n">
        <v>3</v>
      </c>
      <c r="P42" t="n">
        <v>1</v>
      </c>
      <c r="Q42" t="n">
        <v>6</v>
      </c>
      <c r="R42" s="2" t="inlineStr">
        <is>
          <t>Knärot
Scharlakansvaxskivling
Ullticka
Blodvaxskivling
Skuggmossa
Blåsippa</t>
        </is>
      </c>
      <c r="S42">
        <f>HYPERLINK("https://klasma.github.io/Logging_0583/artfynd/A 30637-2022.xlsx", "A 30637-2022")</f>
        <v/>
      </c>
      <c r="T42">
        <f>HYPERLINK("https://klasma.github.io/Logging_0583/kartor/A 30637-2022.png", "A 30637-2022")</f>
        <v/>
      </c>
      <c r="U42">
        <f>HYPERLINK("https://klasma.github.io/Logging_0583/knärot/A 30637-2022.png", "A 30637-2022")</f>
        <v/>
      </c>
      <c r="V42">
        <f>HYPERLINK("https://klasma.github.io/Logging_0583/klagomål/A 30637-2022.docx", "A 30637-2022")</f>
        <v/>
      </c>
      <c r="W42">
        <f>HYPERLINK("https://klasma.github.io/Logging_0583/klagomålsmail/A 30637-2022.docx", "A 30637-2022")</f>
        <v/>
      </c>
      <c r="X42">
        <f>HYPERLINK("https://klasma.github.io/Logging_0583/tillsyn/A 30637-2022.docx", "A 30637-2022")</f>
        <v/>
      </c>
      <c r="Y42">
        <f>HYPERLINK("https://klasma.github.io/Logging_0583/tillsynsmail/A 30637-2022.docx", "A 30637-2022")</f>
        <v/>
      </c>
    </row>
    <row r="43" ht="15" customHeight="1">
      <c r="A43" t="inlineStr">
        <is>
          <t>A 55723-2022</t>
        </is>
      </c>
      <c r="B43" s="1" t="n">
        <v>44888</v>
      </c>
      <c r="C43" s="1" t="n">
        <v>45211</v>
      </c>
      <c r="D43" t="inlineStr">
        <is>
          <t>ÖSTERGÖTLANDS LÄN</t>
        </is>
      </c>
      <c r="E43" t="inlineStr">
        <is>
          <t>FINSPÅNG</t>
        </is>
      </c>
      <c r="F43" t="inlineStr">
        <is>
          <t>Holmen skog AB</t>
        </is>
      </c>
      <c r="G43" t="n">
        <v>4.3</v>
      </c>
      <c r="H43" t="n">
        <v>4</v>
      </c>
      <c r="I43" t="n">
        <v>1</v>
      </c>
      <c r="J43" t="n">
        <v>1</v>
      </c>
      <c r="K43" t="n">
        <v>0</v>
      </c>
      <c r="L43" t="n">
        <v>1</v>
      </c>
      <c r="M43" t="n">
        <v>0</v>
      </c>
      <c r="N43" t="n">
        <v>0</v>
      </c>
      <c r="O43" t="n">
        <v>2</v>
      </c>
      <c r="P43" t="n">
        <v>1</v>
      </c>
      <c r="Q43" t="n">
        <v>6</v>
      </c>
      <c r="R43" s="2" t="inlineStr">
        <is>
          <t>Ask
Nordfladdermus
Hasselticka
Dvärgpipistrell
Större brunfladdermus
Blåsippa</t>
        </is>
      </c>
      <c r="S43">
        <f>HYPERLINK("https://klasma.github.io/Logging_0562/artfynd/A 55723-2022.xlsx", "A 55723-2022")</f>
        <v/>
      </c>
      <c r="T43">
        <f>HYPERLINK("https://klasma.github.io/Logging_0562/kartor/A 55723-2022.png", "A 55723-2022")</f>
        <v/>
      </c>
      <c r="V43">
        <f>HYPERLINK("https://klasma.github.io/Logging_0562/klagomål/A 55723-2022.docx", "A 55723-2022")</f>
        <v/>
      </c>
      <c r="W43">
        <f>HYPERLINK("https://klasma.github.io/Logging_0562/klagomålsmail/A 55723-2022.docx", "A 55723-2022")</f>
        <v/>
      </c>
      <c r="X43">
        <f>HYPERLINK("https://klasma.github.io/Logging_0562/tillsyn/A 55723-2022.docx", "A 55723-2022")</f>
        <v/>
      </c>
      <c r="Y43">
        <f>HYPERLINK("https://klasma.github.io/Logging_0562/tillsynsmail/A 55723-2022.docx", "A 55723-2022")</f>
        <v/>
      </c>
    </row>
    <row r="44" ht="15" customHeight="1">
      <c r="A44" t="inlineStr">
        <is>
          <t>A 1999-2023</t>
        </is>
      </c>
      <c r="B44" s="1" t="n">
        <v>44939</v>
      </c>
      <c r="C44" s="1" t="n">
        <v>45211</v>
      </c>
      <c r="D44" t="inlineStr">
        <is>
          <t>ÖSTERGÖTLANDS LÄN</t>
        </is>
      </c>
      <c r="E44" t="inlineStr">
        <is>
          <t>KINDA</t>
        </is>
      </c>
      <c r="G44" t="n">
        <v>7.8</v>
      </c>
      <c r="H44" t="n">
        <v>4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2</v>
      </c>
      <c r="P44" t="n">
        <v>1</v>
      </c>
      <c r="Q44" t="n">
        <v>6</v>
      </c>
      <c r="R44" s="2" t="inlineStr">
        <is>
          <t>Slåttergubbe
Backtimjan
Fläcknycklar
Grönvit nattviol
Nattviol
Revlummer</t>
        </is>
      </c>
      <c r="S44">
        <f>HYPERLINK("https://klasma.github.io/Logging_0513/artfynd/A 1999-2023.xlsx", "A 1999-2023")</f>
        <v/>
      </c>
      <c r="T44">
        <f>HYPERLINK("https://klasma.github.io/Logging_0513/kartor/A 1999-2023.png", "A 1999-2023")</f>
        <v/>
      </c>
      <c r="V44">
        <f>HYPERLINK("https://klasma.github.io/Logging_0513/klagomål/A 1999-2023.docx", "A 1999-2023")</f>
        <v/>
      </c>
      <c r="W44">
        <f>HYPERLINK("https://klasma.github.io/Logging_0513/klagomålsmail/A 1999-2023.docx", "A 1999-2023")</f>
        <v/>
      </c>
      <c r="X44">
        <f>HYPERLINK("https://klasma.github.io/Logging_0513/tillsyn/A 1999-2023.docx", "A 1999-2023")</f>
        <v/>
      </c>
      <c r="Y44">
        <f>HYPERLINK("https://klasma.github.io/Logging_0513/tillsynsmail/A 1999-2023.docx", "A 1999-2023")</f>
        <v/>
      </c>
    </row>
    <row r="45" ht="15" customHeight="1">
      <c r="A45" t="inlineStr">
        <is>
          <t>A 3380-2023</t>
        </is>
      </c>
      <c r="B45" s="1" t="n">
        <v>44949</v>
      </c>
      <c r="C45" s="1" t="n">
        <v>45211</v>
      </c>
      <c r="D45" t="inlineStr">
        <is>
          <t>ÖSTERGÖTLANDS LÄN</t>
        </is>
      </c>
      <c r="E45" t="inlineStr">
        <is>
          <t>ÅTVIDABERG</t>
        </is>
      </c>
      <c r="G45" t="n">
        <v>1.9</v>
      </c>
      <c r="H45" t="n">
        <v>5</v>
      </c>
      <c r="I45" t="n">
        <v>1</v>
      </c>
      <c r="J45" t="n">
        <v>3</v>
      </c>
      <c r="K45" t="n">
        <v>1</v>
      </c>
      <c r="L45" t="n">
        <v>0</v>
      </c>
      <c r="M45" t="n">
        <v>0</v>
      </c>
      <c r="N45" t="n">
        <v>0</v>
      </c>
      <c r="O45" t="n">
        <v>4</v>
      </c>
      <c r="P45" t="n">
        <v>1</v>
      </c>
      <c r="Q45" t="n">
        <v>6</v>
      </c>
      <c r="R45" s="2" t="inlineStr">
        <is>
          <t>Knärot
Järpe
Spillkråka
Talltita
Blåmossa
Revlummer</t>
        </is>
      </c>
      <c r="S45">
        <f>HYPERLINK("https://klasma.github.io/Logging_0561/artfynd/A 3380-2023.xlsx", "A 3380-2023")</f>
        <v/>
      </c>
      <c r="T45">
        <f>HYPERLINK("https://klasma.github.io/Logging_0561/kartor/A 3380-2023.png", "A 3380-2023")</f>
        <v/>
      </c>
      <c r="U45">
        <f>HYPERLINK("https://klasma.github.io/Logging_0561/knärot/A 3380-2023.png", "A 3380-2023")</f>
        <v/>
      </c>
      <c r="V45">
        <f>HYPERLINK("https://klasma.github.io/Logging_0561/klagomål/A 3380-2023.docx", "A 3380-2023")</f>
        <v/>
      </c>
      <c r="W45">
        <f>HYPERLINK("https://klasma.github.io/Logging_0561/klagomålsmail/A 3380-2023.docx", "A 3380-2023")</f>
        <v/>
      </c>
      <c r="X45">
        <f>HYPERLINK("https://klasma.github.io/Logging_0561/tillsyn/A 3380-2023.docx", "A 3380-2023")</f>
        <v/>
      </c>
      <c r="Y45">
        <f>HYPERLINK("https://klasma.github.io/Logging_0561/tillsynsmail/A 3380-2023.docx", "A 3380-2023")</f>
        <v/>
      </c>
    </row>
    <row r="46" ht="15" customHeight="1">
      <c r="A46" t="inlineStr">
        <is>
          <t>A 14507-2023</t>
        </is>
      </c>
      <c r="B46" s="1" t="n">
        <v>45012</v>
      </c>
      <c r="C46" s="1" t="n">
        <v>45211</v>
      </c>
      <c r="D46" t="inlineStr">
        <is>
          <t>ÖSTERGÖTLANDS LÄN</t>
        </is>
      </c>
      <c r="E46" t="inlineStr">
        <is>
          <t>NORRKÖPING</t>
        </is>
      </c>
      <c r="G46" t="n">
        <v>2.7</v>
      </c>
      <c r="H46" t="n">
        <v>1</v>
      </c>
      <c r="I46" t="n">
        <v>4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2</v>
      </c>
      <c r="P46" t="n">
        <v>1</v>
      </c>
      <c r="Q46" t="n">
        <v>6</v>
      </c>
      <c r="R46" s="2" t="inlineStr">
        <is>
          <t>Knärot
Ullticka
Blomkålssvamp
Blåmossa
Bronshjon
Grönpyrola</t>
        </is>
      </c>
      <c r="S46">
        <f>HYPERLINK("https://klasma.github.io/Logging_0581/artfynd/A 14507-2023.xlsx", "A 14507-2023")</f>
        <v/>
      </c>
      <c r="T46">
        <f>HYPERLINK("https://klasma.github.io/Logging_0581/kartor/A 14507-2023.png", "A 14507-2023")</f>
        <v/>
      </c>
      <c r="U46">
        <f>HYPERLINK("https://klasma.github.io/Logging_0581/knärot/A 14507-2023.png", "A 14507-2023")</f>
        <v/>
      </c>
      <c r="V46">
        <f>HYPERLINK("https://klasma.github.io/Logging_0581/klagomål/A 14507-2023.docx", "A 14507-2023")</f>
        <v/>
      </c>
      <c r="W46">
        <f>HYPERLINK("https://klasma.github.io/Logging_0581/klagomålsmail/A 14507-2023.docx", "A 14507-2023")</f>
        <v/>
      </c>
      <c r="X46">
        <f>HYPERLINK("https://klasma.github.io/Logging_0581/tillsyn/A 14507-2023.docx", "A 14507-2023")</f>
        <v/>
      </c>
      <c r="Y46">
        <f>HYPERLINK("https://klasma.github.io/Logging_0581/tillsynsmail/A 14507-2023.docx", "A 14507-2023")</f>
        <v/>
      </c>
    </row>
    <row r="47" ht="15" customHeight="1">
      <c r="A47" t="inlineStr">
        <is>
          <t>A 34644-2023</t>
        </is>
      </c>
      <c r="B47" s="1" t="n">
        <v>45139</v>
      </c>
      <c r="C47" s="1" t="n">
        <v>45211</v>
      </c>
      <c r="D47" t="inlineStr">
        <is>
          <t>ÖSTERGÖTLANDS LÄN</t>
        </is>
      </c>
      <c r="E47" t="inlineStr">
        <is>
          <t>NORRKÖPING</t>
        </is>
      </c>
      <c r="F47" t="inlineStr">
        <is>
          <t>Allmännings- och besparingsskogar</t>
        </is>
      </c>
      <c r="G47" t="n">
        <v>8.300000000000001</v>
      </c>
      <c r="H47" t="n">
        <v>1</v>
      </c>
      <c r="I47" t="n">
        <v>4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6</v>
      </c>
      <c r="R47" s="2" t="inlineStr">
        <is>
          <t>Spillkråka
Vedskivlav
Blåmossa
Grönpyrola
Mindre märgborre
Västlig hakmossa</t>
        </is>
      </c>
      <c r="S47">
        <f>HYPERLINK("https://klasma.github.io/Logging_0581/artfynd/A 34644-2023.xlsx", "A 34644-2023")</f>
        <v/>
      </c>
      <c r="T47">
        <f>HYPERLINK("https://klasma.github.io/Logging_0581/kartor/A 34644-2023.png", "A 34644-2023")</f>
        <v/>
      </c>
      <c r="V47">
        <f>HYPERLINK("https://klasma.github.io/Logging_0581/klagomål/A 34644-2023.docx", "A 34644-2023")</f>
        <v/>
      </c>
      <c r="W47">
        <f>HYPERLINK("https://klasma.github.io/Logging_0581/klagomålsmail/A 34644-2023.docx", "A 34644-2023")</f>
        <v/>
      </c>
      <c r="X47">
        <f>HYPERLINK("https://klasma.github.io/Logging_0581/tillsyn/A 34644-2023.docx", "A 34644-2023")</f>
        <v/>
      </c>
      <c r="Y47">
        <f>HYPERLINK("https://klasma.github.io/Logging_0581/tillsynsmail/A 34644-2023.docx", "A 34644-2023")</f>
        <v/>
      </c>
    </row>
    <row r="48" ht="15" customHeight="1">
      <c r="A48" t="inlineStr">
        <is>
          <t>A 42447-2020</t>
        </is>
      </c>
      <c r="B48" s="1" t="n">
        <v>44076</v>
      </c>
      <c r="C48" s="1" t="n">
        <v>45211</v>
      </c>
      <c r="D48" t="inlineStr">
        <is>
          <t>ÖSTERGÖTLANDS LÄN</t>
        </is>
      </c>
      <c r="E48" t="inlineStr">
        <is>
          <t>NORRKÖPING</t>
        </is>
      </c>
      <c r="G48" t="n">
        <v>5.2</v>
      </c>
      <c r="H48" t="n">
        <v>1</v>
      </c>
      <c r="I48" t="n">
        <v>4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5</v>
      </c>
      <c r="R48" s="2" t="inlineStr">
        <is>
          <t>Piploka
Barkticka
Bronshjon
Fällmossa
Vedticka</t>
        </is>
      </c>
      <c r="S48">
        <f>HYPERLINK("https://klasma.github.io/Logging_0581/artfynd/A 42447-2020.xlsx", "A 42447-2020")</f>
        <v/>
      </c>
      <c r="T48">
        <f>HYPERLINK("https://klasma.github.io/Logging_0581/kartor/A 42447-2020.png", "A 42447-2020")</f>
        <v/>
      </c>
      <c r="V48">
        <f>HYPERLINK("https://klasma.github.io/Logging_0581/klagomål/A 42447-2020.docx", "A 42447-2020")</f>
        <v/>
      </c>
      <c r="W48">
        <f>HYPERLINK("https://klasma.github.io/Logging_0581/klagomålsmail/A 42447-2020.docx", "A 42447-2020")</f>
        <v/>
      </c>
      <c r="X48">
        <f>HYPERLINK("https://klasma.github.io/Logging_0581/tillsyn/A 42447-2020.docx", "A 42447-2020")</f>
        <v/>
      </c>
      <c r="Y48">
        <f>HYPERLINK("https://klasma.github.io/Logging_0581/tillsynsmail/A 42447-2020.docx", "A 42447-2020")</f>
        <v/>
      </c>
    </row>
    <row r="49" ht="15" customHeight="1">
      <c r="A49" t="inlineStr">
        <is>
          <t>A 45008-2020</t>
        </is>
      </c>
      <c r="B49" s="1" t="n">
        <v>44088</v>
      </c>
      <c r="C49" s="1" t="n">
        <v>45211</v>
      </c>
      <c r="D49" t="inlineStr">
        <is>
          <t>ÖSTERGÖTLANDS LÄN</t>
        </is>
      </c>
      <c r="E49" t="inlineStr">
        <is>
          <t>KINDA</t>
        </is>
      </c>
      <c r="G49" t="n">
        <v>1.3</v>
      </c>
      <c r="H49" t="n">
        <v>2</v>
      </c>
      <c r="I49" t="n">
        <v>1</v>
      </c>
      <c r="J49" t="n">
        <v>2</v>
      </c>
      <c r="K49" t="n">
        <v>0</v>
      </c>
      <c r="L49" t="n">
        <v>2</v>
      </c>
      <c r="M49" t="n">
        <v>0</v>
      </c>
      <c r="N49" t="n">
        <v>0</v>
      </c>
      <c r="O49" t="n">
        <v>4</v>
      </c>
      <c r="P49" t="n">
        <v>2</v>
      </c>
      <c r="Q49" t="n">
        <v>5</v>
      </c>
      <c r="R49" s="2" t="inlineStr">
        <is>
          <t>Mosippa
Ryl
Rödlånke
Sandviol
Purpurknipprot</t>
        </is>
      </c>
      <c r="S49">
        <f>HYPERLINK("https://klasma.github.io/Logging_0513/artfynd/A 45008-2020.xlsx", "A 45008-2020")</f>
        <v/>
      </c>
      <c r="T49">
        <f>HYPERLINK("https://klasma.github.io/Logging_0513/kartor/A 45008-2020.png", "A 45008-2020")</f>
        <v/>
      </c>
      <c r="U49">
        <f>HYPERLINK("https://klasma.github.io/Logging_0513/knärot/A 45008-2020.png", "A 45008-2020")</f>
        <v/>
      </c>
      <c r="V49">
        <f>HYPERLINK("https://klasma.github.io/Logging_0513/klagomål/A 45008-2020.docx", "A 45008-2020")</f>
        <v/>
      </c>
      <c r="W49">
        <f>HYPERLINK("https://klasma.github.io/Logging_0513/klagomålsmail/A 45008-2020.docx", "A 45008-2020")</f>
        <v/>
      </c>
      <c r="X49">
        <f>HYPERLINK("https://klasma.github.io/Logging_0513/tillsyn/A 45008-2020.docx", "A 45008-2020")</f>
        <v/>
      </c>
      <c r="Y49">
        <f>HYPERLINK("https://klasma.github.io/Logging_0513/tillsynsmail/A 45008-2020.docx", "A 45008-2020")</f>
        <v/>
      </c>
    </row>
    <row r="50" ht="15" customHeight="1">
      <c r="A50" t="inlineStr">
        <is>
          <t>A 10483-2021</t>
        </is>
      </c>
      <c r="B50" s="1" t="n">
        <v>44257</v>
      </c>
      <c r="C50" s="1" t="n">
        <v>45211</v>
      </c>
      <c r="D50" t="inlineStr">
        <is>
          <t>ÖSTERGÖTLANDS LÄN</t>
        </is>
      </c>
      <c r="E50" t="inlineStr">
        <is>
          <t>YDRE</t>
        </is>
      </c>
      <c r="G50" t="n">
        <v>1.1</v>
      </c>
      <c r="H50" t="n">
        <v>0</v>
      </c>
      <c r="I50" t="n">
        <v>3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2</v>
      </c>
      <c r="P50" t="n">
        <v>1</v>
      </c>
      <c r="Q50" t="n">
        <v>5</v>
      </c>
      <c r="R50" s="2" t="inlineStr">
        <is>
          <t>Smalskaftslav
Vedtrappmossa
Bårdlav
Trädporella
Västlig hakmossa</t>
        </is>
      </c>
      <c r="S50">
        <f>HYPERLINK("https://klasma.github.io/Logging_0512/artfynd/A 10483-2021.xlsx", "A 10483-2021")</f>
        <v/>
      </c>
      <c r="T50">
        <f>HYPERLINK("https://klasma.github.io/Logging_0512/kartor/A 10483-2021.png", "A 10483-2021")</f>
        <v/>
      </c>
      <c r="V50">
        <f>HYPERLINK("https://klasma.github.io/Logging_0512/klagomål/A 10483-2021.docx", "A 10483-2021")</f>
        <v/>
      </c>
      <c r="W50">
        <f>HYPERLINK("https://klasma.github.io/Logging_0512/klagomålsmail/A 10483-2021.docx", "A 10483-2021")</f>
        <v/>
      </c>
      <c r="X50">
        <f>HYPERLINK("https://klasma.github.io/Logging_0512/tillsyn/A 10483-2021.docx", "A 10483-2021")</f>
        <v/>
      </c>
      <c r="Y50">
        <f>HYPERLINK("https://klasma.github.io/Logging_0512/tillsynsmail/A 10483-2021.docx", "A 10483-2021")</f>
        <v/>
      </c>
    </row>
    <row r="51" ht="15" customHeight="1">
      <c r="A51" t="inlineStr">
        <is>
          <t>A 38065-2021</t>
        </is>
      </c>
      <c r="B51" s="1" t="n">
        <v>44404</v>
      </c>
      <c r="C51" s="1" t="n">
        <v>45211</v>
      </c>
      <c r="D51" t="inlineStr">
        <is>
          <t>ÖSTERGÖTLANDS LÄN</t>
        </is>
      </c>
      <c r="E51" t="inlineStr">
        <is>
          <t>FINSPÅNG</t>
        </is>
      </c>
      <c r="F51" t="inlineStr">
        <is>
          <t>Holmen skog AB</t>
        </is>
      </c>
      <c r="G51" t="n">
        <v>1.4</v>
      </c>
      <c r="H51" t="n">
        <v>0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5</v>
      </c>
      <c r="R51" s="2" t="inlineStr">
        <is>
          <t>Vedskivlav
Bronshjon
Dropptaggsvamp
Granbarkgnagare
Grönpyrola</t>
        </is>
      </c>
      <c r="S51">
        <f>HYPERLINK("https://klasma.github.io/Logging_0562/artfynd/A 38065-2021.xlsx", "A 38065-2021")</f>
        <v/>
      </c>
      <c r="T51">
        <f>HYPERLINK("https://klasma.github.io/Logging_0562/kartor/A 38065-2021.png", "A 38065-2021")</f>
        <v/>
      </c>
      <c r="V51">
        <f>HYPERLINK("https://klasma.github.io/Logging_0562/klagomål/A 38065-2021.docx", "A 38065-2021")</f>
        <v/>
      </c>
      <c r="W51">
        <f>HYPERLINK("https://klasma.github.io/Logging_0562/klagomålsmail/A 38065-2021.docx", "A 38065-2021")</f>
        <v/>
      </c>
      <c r="X51">
        <f>HYPERLINK("https://klasma.github.io/Logging_0562/tillsyn/A 38065-2021.docx", "A 38065-2021")</f>
        <v/>
      </c>
      <c r="Y51">
        <f>HYPERLINK("https://klasma.github.io/Logging_0562/tillsynsmail/A 38065-2021.docx", "A 38065-2021")</f>
        <v/>
      </c>
    </row>
    <row r="52" ht="15" customHeight="1">
      <c r="A52" t="inlineStr">
        <is>
          <t>A 50496-2021</t>
        </is>
      </c>
      <c r="B52" s="1" t="n">
        <v>44458</v>
      </c>
      <c r="C52" s="1" t="n">
        <v>45211</v>
      </c>
      <c r="D52" t="inlineStr">
        <is>
          <t>ÖSTERGÖTLANDS LÄN</t>
        </is>
      </c>
      <c r="E52" t="inlineStr">
        <is>
          <t>ÅTVIDABERG</t>
        </is>
      </c>
      <c r="G52" t="n">
        <v>1.7</v>
      </c>
      <c r="H52" t="n">
        <v>1</v>
      </c>
      <c r="I52" t="n">
        <v>1</v>
      </c>
      <c r="J52" t="n">
        <v>3</v>
      </c>
      <c r="K52" t="n">
        <v>0</v>
      </c>
      <c r="L52" t="n">
        <v>0</v>
      </c>
      <c r="M52" t="n">
        <v>0</v>
      </c>
      <c r="N52" t="n">
        <v>0</v>
      </c>
      <c r="O52" t="n">
        <v>3</v>
      </c>
      <c r="P52" t="n">
        <v>0</v>
      </c>
      <c r="Q52" t="n">
        <v>5</v>
      </c>
      <c r="R52" s="2" t="inlineStr">
        <is>
          <t>Skogstrappmossa
Tallticka
Ullticka
Tjockfotad fingersvamp
Blåsippa</t>
        </is>
      </c>
      <c r="S52">
        <f>HYPERLINK("https://klasma.github.io/Logging_0561/artfynd/A 50496-2021.xlsx", "A 50496-2021")</f>
        <v/>
      </c>
      <c r="T52">
        <f>HYPERLINK("https://klasma.github.io/Logging_0561/kartor/A 50496-2021.png", "A 50496-2021")</f>
        <v/>
      </c>
      <c r="V52">
        <f>HYPERLINK("https://klasma.github.io/Logging_0561/klagomål/A 50496-2021.docx", "A 50496-2021")</f>
        <v/>
      </c>
      <c r="W52">
        <f>HYPERLINK("https://klasma.github.io/Logging_0561/klagomålsmail/A 50496-2021.docx", "A 50496-2021")</f>
        <v/>
      </c>
      <c r="X52">
        <f>HYPERLINK("https://klasma.github.io/Logging_0561/tillsyn/A 50496-2021.docx", "A 50496-2021")</f>
        <v/>
      </c>
      <c r="Y52">
        <f>HYPERLINK("https://klasma.github.io/Logging_0561/tillsynsmail/A 50496-2021.docx", "A 50496-2021")</f>
        <v/>
      </c>
    </row>
    <row r="53" ht="15" customHeight="1">
      <c r="A53" t="inlineStr">
        <is>
          <t>A 50852-2021</t>
        </is>
      </c>
      <c r="B53" s="1" t="n">
        <v>44459</v>
      </c>
      <c r="C53" s="1" t="n">
        <v>45211</v>
      </c>
      <c r="D53" t="inlineStr">
        <is>
          <t>ÖSTERGÖTLANDS LÄN</t>
        </is>
      </c>
      <c r="E53" t="inlineStr">
        <is>
          <t>ÅTVIDABERG</t>
        </is>
      </c>
      <c r="G53" t="n">
        <v>5.9</v>
      </c>
      <c r="H53" t="n">
        <v>0</v>
      </c>
      <c r="I53" t="n">
        <v>2</v>
      </c>
      <c r="J53" t="n">
        <v>3</v>
      </c>
      <c r="K53" t="n">
        <v>0</v>
      </c>
      <c r="L53" t="n">
        <v>0</v>
      </c>
      <c r="M53" t="n">
        <v>0</v>
      </c>
      <c r="N53" t="n">
        <v>0</v>
      </c>
      <c r="O53" t="n">
        <v>3</v>
      </c>
      <c r="P53" t="n">
        <v>0</v>
      </c>
      <c r="Q53" t="n">
        <v>5</v>
      </c>
      <c r="R53" s="2" t="inlineStr">
        <is>
          <t>Dvärgbägarlav
Vedskivlav
Vippärt
Blanksvart trämyra
Granbarkgnagare</t>
        </is>
      </c>
      <c r="S53">
        <f>HYPERLINK("https://klasma.github.io/Logging_0561/artfynd/A 50852-2021.xlsx", "A 50852-2021")</f>
        <v/>
      </c>
      <c r="T53">
        <f>HYPERLINK("https://klasma.github.io/Logging_0561/kartor/A 50852-2021.png", "A 50852-2021")</f>
        <v/>
      </c>
      <c r="V53">
        <f>HYPERLINK("https://klasma.github.io/Logging_0561/klagomål/A 50852-2021.docx", "A 50852-2021")</f>
        <v/>
      </c>
      <c r="W53">
        <f>HYPERLINK("https://klasma.github.io/Logging_0561/klagomålsmail/A 50852-2021.docx", "A 50852-2021")</f>
        <v/>
      </c>
      <c r="X53">
        <f>HYPERLINK("https://klasma.github.io/Logging_0561/tillsyn/A 50852-2021.docx", "A 50852-2021")</f>
        <v/>
      </c>
      <c r="Y53">
        <f>HYPERLINK("https://klasma.github.io/Logging_0561/tillsynsmail/A 50852-2021.docx", "A 50852-2021")</f>
        <v/>
      </c>
    </row>
    <row r="54" ht="15" customHeight="1">
      <c r="A54" t="inlineStr">
        <is>
          <t>A 57617-2021</t>
        </is>
      </c>
      <c r="B54" s="1" t="n">
        <v>44484</v>
      </c>
      <c r="C54" s="1" t="n">
        <v>45211</v>
      </c>
      <c r="D54" t="inlineStr">
        <is>
          <t>ÖSTERGÖTLANDS LÄN</t>
        </is>
      </c>
      <c r="E54" t="inlineStr">
        <is>
          <t>KINDA</t>
        </is>
      </c>
      <c r="G54" t="n">
        <v>2.3</v>
      </c>
      <c r="H54" t="n">
        <v>2</v>
      </c>
      <c r="I54" t="n">
        <v>2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5</v>
      </c>
      <c r="R54" s="2" t="inlineStr">
        <is>
          <t>Tallticka
Talltita
Bronshjon
Vågbandad barkbock
Blåsippa</t>
        </is>
      </c>
      <c r="S54">
        <f>HYPERLINK("https://klasma.github.io/Logging_0513/artfynd/A 57617-2021.xlsx", "A 57617-2021")</f>
        <v/>
      </c>
      <c r="T54">
        <f>HYPERLINK("https://klasma.github.io/Logging_0513/kartor/A 57617-2021.png", "A 57617-2021")</f>
        <v/>
      </c>
      <c r="V54">
        <f>HYPERLINK("https://klasma.github.io/Logging_0513/klagomål/A 57617-2021.docx", "A 57617-2021")</f>
        <v/>
      </c>
      <c r="W54">
        <f>HYPERLINK("https://klasma.github.io/Logging_0513/klagomålsmail/A 57617-2021.docx", "A 57617-2021")</f>
        <v/>
      </c>
      <c r="X54">
        <f>HYPERLINK("https://klasma.github.io/Logging_0513/tillsyn/A 57617-2021.docx", "A 57617-2021")</f>
        <v/>
      </c>
      <c r="Y54">
        <f>HYPERLINK("https://klasma.github.io/Logging_0513/tillsynsmail/A 57617-2021.docx", "A 57617-2021")</f>
        <v/>
      </c>
    </row>
    <row r="55" ht="15" customHeight="1">
      <c r="A55" t="inlineStr">
        <is>
          <t>A 72592-2021</t>
        </is>
      </c>
      <c r="B55" s="1" t="n">
        <v>44546</v>
      </c>
      <c r="C55" s="1" t="n">
        <v>45211</v>
      </c>
      <c r="D55" t="inlineStr">
        <is>
          <t>ÖSTERGÖTLANDS LÄN</t>
        </is>
      </c>
      <c r="E55" t="inlineStr">
        <is>
          <t>ÅTVIDABERG</t>
        </is>
      </c>
      <c r="F55" t="inlineStr">
        <is>
          <t>Holmen skog AB</t>
        </is>
      </c>
      <c r="G55" t="n">
        <v>2</v>
      </c>
      <c r="H55" t="n">
        <v>0</v>
      </c>
      <c r="I55" t="n">
        <v>0</v>
      </c>
      <c r="J55" t="n">
        <v>4</v>
      </c>
      <c r="K55" t="n">
        <v>0</v>
      </c>
      <c r="L55" t="n">
        <v>1</v>
      </c>
      <c r="M55" t="n">
        <v>0</v>
      </c>
      <c r="N55" t="n">
        <v>0</v>
      </c>
      <c r="O55" t="n">
        <v>5</v>
      </c>
      <c r="P55" t="n">
        <v>1</v>
      </c>
      <c r="Q55" t="n">
        <v>5</v>
      </c>
      <c r="R55" s="2" t="inlineStr">
        <is>
          <t>Ask
Bergjohannesört
Krusfrö
Vippärt
Ängsskära</t>
        </is>
      </c>
      <c r="S55">
        <f>HYPERLINK("https://klasma.github.io/Logging_0561/artfynd/A 72592-2021.xlsx", "A 72592-2021")</f>
        <v/>
      </c>
      <c r="T55">
        <f>HYPERLINK("https://klasma.github.io/Logging_0561/kartor/A 72592-2021.png", "A 72592-2021")</f>
        <v/>
      </c>
      <c r="V55">
        <f>HYPERLINK("https://klasma.github.io/Logging_0561/klagomål/A 72592-2021.docx", "A 72592-2021")</f>
        <v/>
      </c>
      <c r="W55">
        <f>HYPERLINK("https://klasma.github.io/Logging_0561/klagomålsmail/A 72592-2021.docx", "A 72592-2021")</f>
        <v/>
      </c>
      <c r="X55">
        <f>HYPERLINK("https://klasma.github.io/Logging_0561/tillsyn/A 72592-2021.docx", "A 72592-2021")</f>
        <v/>
      </c>
      <c r="Y55">
        <f>HYPERLINK("https://klasma.github.io/Logging_0561/tillsynsmail/A 72592-2021.docx", "A 72592-2021")</f>
        <v/>
      </c>
    </row>
    <row r="56" ht="15" customHeight="1">
      <c r="A56" t="inlineStr">
        <is>
          <t>A 74267-2021</t>
        </is>
      </c>
      <c r="B56" s="1" t="n">
        <v>44558</v>
      </c>
      <c r="C56" s="1" t="n">
        <v>45211</v>
      </c>
      <c r="D56" t="inlineStr">
        <is>
          <t>ÖSTERGÖTLANDS LÄN</t>
        </is>
      </c>
      <c r="E56" t="inlineStr">
        <is>
          <t>NORRKÖPING</t>
        </is>
      </c>
      <c r="G56" t="n">
        <v>3.1</v>
      </c>
      <c r="H56" t="n">
        <v>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5</v>
      </c>
      <c r="R56" s="2" t="inlineStr">
        <is>
          <t>Ullticka
Blodticka
Bronshjon
Mindre märgborre
Blåsippa</t>
        </is>
      </c>
      <c r="S56">
        <f>HYPERLINK("https://klasma.github.io/Logging_0581/artfynd/A 74267-2021.xlsx", "A 74267-2021")</f>
        <v/>
      </c>
      <c r="T56">
        <f>HYPERLINK("https://klasma.github.io/Logging_0581/kartor/A 74267-2021.png", "A 74267-2021")</f>
        <v/>
      </c>
      <c r="V56">
        <f>HYPERLINK("https://klasma.github.io/Logging_0581/klagomål/A 74267-2021.docx", "A 74267-2021")</f>
        <v/>
      </c>
      <c r="W56">
        <f>HYPERLINK("https://klasma.github.io/Logging_0581/klagomålsmail/A 74267-2021.docx", "A 74267-2021")</f>
        <v/>
      </c>
      <c r="X56">
        <f>HYPERLINK("https://klasma.github.io/Logging_0581/tillsyn/A 74267-2021.docx", "A 74267-2021")</f>
        <v/>
      </c>
      <c r="Y56">
        <f>HYPERLINK("https://klasma.github.io/Logging_0581/tillsynsmail/A 74267-2021.docx", "A 74267-2021")</f>
        <v/>
      </c>
    </row>
    <row r="57" ht="15" customHeight="1">
      <c r="A57" t="inlineStr">
        <is>
          <t>A 8237-2023</t>
        </is>
      </c>
      <c r="B57" s="1" t="n">
        <v>44974</v>
      </c>
      <c r="C57" s="1" t="n">
        <v>45211</v>
      </c>
      <c r="D57" t="inlineStr">
        <is>
          <t>ÖSTERGÖTLANDS LÄN</t>
        </is>
      </c>
      <c r="E57" t="inlineStr">
        <is>
          <t>KINDA</t>
        </is>
      </c>
      <c r="G57" t="n">
        <v>6.1</v>
      </c>
      <c r="H57" t="n">
        <v>3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5</v>
      </c>
      <c r="R57" s="2" t="inlineStr">
        <is>
          <t>Smalsprötad bastardsvärmare
Grönpyrola
Kopparödla
Blåsippa
Gullviva</t>
        </is>
      </c>
      <c r="S57">
        <f>HYPERLINK("https://klasma.github.io/Logging_0513/artfynd/A 8237-2023.xlsx", "A 8237-2023")</f>
        <v/>
      </c>
      <c r="T57">
        <f>HYPERLINK("https://klasma.github.io/Logging_0513/kartor/A 8237-2023.png", "A 8237-2023")</f>
        <v/>
      </c>
      <c r="V57">
        <f>HYPERLINK("https://klasma.github.io/Logging_0513/klagomål/A 8237-2023.docx", "A 8237-2023")</f>
        <v/>
      </c>
      <c r="W57">
        <f>HYPERLINK("https://klasma.github.io/Logging_0513/klagomålsmail/A 8237-2023.docx", "A 8237-2023")</f>
        <v/>
      </c>
      <c r="X57">
        <f>HYPERLINK("https://klasma.github.io/Logging_0513/tillsyn/A 8237-2023.docx", "A 8237-2023")</f>
        <v/>
      </c>
      <c r="Y57">
        <f>HYPERLINK("https://klasma.github.io/Logging_0513/tillsynsmail/A 8237-2023.docx", "A 8237-2023")</f>
        <v/>
      </c>
    </row>
    <row r="58" ht="15" customHeight="1">
      <c r="A58" t="inlineStr">
        <is>
          <t>A 35125-2018</t>
        </is>
      </c>
      <c r="B58" s="1" t="n">
        <v>43322</v>
      </c>
      <c r="C58" s="1" t="n">
        <v>45211</v>
      </c>
      <c r="D58" t="inlineStr">
        <is>
          <t>ÖSTERGÖTLANDS LÄN</t>
        </is>
      </c>
      <c r="E58" t="inlineStr">
        <is>
          <t>FINSPÅNG</t>
        </is>
      </c>
      <c r="F58" t="inlineStr">
        <is>
          <t>Övriga Aktiebolag</t>
        </is>
      </c>
      <c r="G58" t="n">
        <v>6</v>
      </c>
      <c r="H58" t="n">
        <v>0</v>
      </c>
      <c r="I58" t="n">
        <v>1</v>
      </c>
      <c r="J58" t="n">
        <v>3</v>
      </c>
      <c r="K58" t="n">
        <v>0</v>
      </c>
      <c r="L58" t="n">
        <v>0</v>
      </c>
      <c r="M58" t="n">
        <v>0</v>
      </c>
      <c r="N58" t="n">
        <v>0</v>
      </c>
      <c r="O58" t="n">
        <v>3</v>
      </c>
      <c r="P58" t="n">
        <v>0</v>
      </c>
      <c r="Q58" t="n">
        <v>4</v>
      </c>
      <c r="R58" s="2" t="inlineStr">
        <is>
          <t>Tallticka
Triplax rufipes
Ullticka
Brandticka</t>
        </is>
      </c>
      <c r="S58">
        <f>HYPERLINK("https://klasma.github.io/Logging_0562/artfynd/A 35125-2018.xlsx", "A 35125-2018")</f>
        <v/>
      </c>
      <c r="T58">
        <f>HYPERLINK("https://klasma.github.io/Logging_0562/kartor/A 35125-2018.png", "A 35125-2018")</f>
        <v/>
      </c>
      <c r="V58">
        <f>HYPERLINK("https://klasma.github.io/Logging_0562/klagomål/A 35125-2018.docx", "A 35125-2018")</f>
        <v/>
      </c>
      <c r="W58">
        <f>HYPERLINK("https://klasma.github.io/Logging_0562/klagomålsmail/A 35125-2018.docx", "A 35125-2018")</f>
        <v/>
      </c>
      <c r="X58">
        <f>HYPERLINK("https://klasma.github.io/Logging_0562/tillsyn/A 35125-2018.docx", "A 35125-2018")</f>
        <v/>
      </c>
      <c r="Y58">
        <f>HYPERLINK("https://klasma.github.io/Logging_0562/tillsynsmail/A 35125-2018.docx", "A 35125-2018")</f>
        <v/>
      </c>
    </row>
    <row r="59" ht="15" customHeight="1">
      <c r="A59" t="inlineStr">
        <is>
          <t>A 34818-2019</t>
        </is>
      </c>
      <c r="B59" s="1" t="n">
        <v>43649</v>
      </c>
      <c r="C59" s="1" t="n">
        <v>45211</v>
      </c>
      <c r="D59" t="inlineStr">
        <is>
          <t>ÖSTERGÖTLANDS LÄN</t>
        </is>
      </c>
      <c r="E59" t="inlineStr">
        <is>
          <t>LINKÖPING</t>
        </is>
      </c>
      <c r="G59" t="n">
        <v>3.6</v>
      </c>
      <c r="H59" t="n">
        <v>0</v>
      </c>
      <c r="I59" t="n">
        <v>1</v>
      </c>
      <c r="J59" t="n">
        <v>2</v>
      </c>
      <c r="K59" t="n">
        <v>1</v>
      </c>
      <c r="L59" t="n">
        <v>0</v>
      </c>
      <c r="M59" t="n">
        <v>0</v>
      </c>
      <c r="N59" t="n">
        <v>0</v>
      </c>
      <c r="O59" t="n">
        <v>3</v>
      </c>
      <c r="P59" t="n">
        <v>1</v>
      </c>
      <c r="Q59" t="n">
        <v>4</v>
      </c>
      <c r="R59" s="2" t="inlineStr">
        <is>
          <t>Strandviol
Kasgräs
Tallticka
Blåmossa</t>
        </is>
      </c>
      <c r="S59">
        <f>HYPERLINK("https://klasma.github.io/Logging_0580/artfynd/A 34818-2019.xlsx", "A 34818-2019")</f>
        <v/>
      </c>
      <c r="T59">
        <f>HYPERLINK("https://klasma.github.io/Logging_0580/kartor/A 34818-2019.png", "A 34818-2019")</f>
        <v/>
      </c>
      <c r="V59">
        <f>HYPERLINK("https://klasma.github.io/Logging_0580/klagomål/A 34818-2019.docx", "A 34818-2019")</f>
        <v/>
      </c>
      <c r="W59">
        <f>HYPERLINK("https://klasma.github.io/Logging_0580/klagomålsmail/A 34818-2019.docx", "A 34818-2019")</f>
        <v/>
      </c>
      <c r="X59">
        <f>HYPERLINK("https://klasma.github.io/Logging_0580/tillsyn/A 34818-2019.docx", "A 34818-2019")</f>
        <v/>
      </c>
      <c r="Y59">
        <f>HYPERLINK("https://klasma.github.io/Logging_0580/tillsynsmail/A 34818-2019.docx", "A 34818-2019")</f>
        <v/>
      </c>
    </row>
    <row r="60" ht="15" customHeight="1">
      <c r="A60" t="inlineStr">
        <is>
          <t>A 61056-2019</t>
        </is>
      </c>
      <c r="B60" s="1" t="n">
        <v>43782</v>
      </c>
      <c r="C60" s="1" t="n">
        <v>45211</v>
      </c>
      <c r="D60" t="inlineStr">
        <is>
          <t>ÖSTERGÖTLANDS LÄN</t>
        </is>
      </c>
      <c r="E60" t="inlineStr">
        <is>
          <t>MJÖLBY</t>
        </is>
      </c>
      <c r="F60" t="inlineStr">
        <is>
          <t>Kommuner</t>
        </is>
      </c>
      <c r="G60" t="n">
        <v>1.9</v>
      </c>
      <c r="H60" t="n">
        <v>1</v>
      </c>
      <c r="I60" t="n">
        <v>3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  <c r="P60" t="n">
        <v>1</v>
      </c>
      <c r="Q60" t="n">
        <v>4</v>
      </c>
      <c r="R60" s="2" t="inlineStr">
        <is>
          <t>Knärot
Fjällig taggsvamp s.str.
Gulnål
Rödbrun jordstjärna</t>
        </is>
      </c>
      <c r="S60">
        <f>HYPERLINK("https://klasma.github.io/Logging_0586/artfynd/A 61056-2019.xlsx", "A 61056-2019")</f>
        <v/>
      </c>
      <c r="T60">
        <f>HYPERLINK("https://klasma.github.io/Logging_0586/kartor/A 61056-2019.png", "A 61056-2019")</f>
        <v/>
      </c>
      <c r="U60">
        <f>HYPERLINK("https://klasma.github.io/Logging_0586/knärot/A 61056-2019.png", "A 61056-2019")</f>
        <v/>
      </c>
      <c r="V60">
        <f>HYPERLINK("https://klasma.github.io/Logging_0586/klagomål/A 61056-2019.docx", "A 61056-2019")</f>
        <v/>
      </c>
      <c r="W60">
        <f>HYPERLINK("https://klasma.github.io/Logging_0586/klagomålsmail/A 61056-2019.docx", "A 61056-2019")</f>
        <v/>
      </c>
      <c r="X60">
        <f>HYPERLINK("https://klasma.github.io/Logging_0586/tillsyn/A 61056-2019.docx", "A 61056-2019")</f>
        <v/>
      </c>
      <c r="Y60">
        <f>HYPERLINK("https://klasma.github.io/Logging_0586/tillsynsmail/A 61056-2019.docx", "A 61056-2019")</f>
        <v/>
      </c>
    </row>
    <row r="61" ht="15" customHeight="1">
      <c r="A61" t="inlineStr">
        <is>
          <t>A 63334-2019</t>
        </is>
      </c>
      <c r="B61" s="1" t="n">
        <v>43794</v>
      </c>
      <c r="C61" s="1" t="n">
        <v>45211</v>
      </c>
      <c r="D61" t="inlineStr">
        <is>
          <t>ÖSTERGÖTLANDS LÄN</t>
        </is>
      </c>
      <c r="E61" t="inlineStr">
        <is>
          <t>BOXHOLM</t>
        </is>
      </c>
      <c r="F61" t="inlineStr">
        <is>
          <t>Övriga Aktiebolag</t>
        </is>
      </c>
      <c r="G61" t="n">
        <v>1.8</v>
      </c>
      <c r="H61" t="n">
        <v>2</v>
      </c>
      <c r="I61" t="n">
        <v>1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1</v>
      </c>
      <c r="P61" t="n">
        <v>1</v>
      </c>
      <c r="Q61" t="n">
        <v>4</v>
      </c>
      <c r="R61" s="2" t="inlineStr">
        <is>
          <t>Skogsalm
Svart trolldruva
Grönvit nattviol
Blåsippa</t>
        </is>
      </c>
      <c r="S61">
        <f>HYPERLINK("https://klasma.github.io/Logging_0560/artfynd/A 63334-2019.xlsx", "A 63334-2019")</f>
        <v/>
      </c>
      <c r="T61">
        <f>HYPERLINK("https://klasma.github.io/Logging_0560/kartor/A 63334-2019.png", "A 63334-2019")</f>
        <v/>
      </c>
      <c r="V61">
        <f>HYPERLINK("https://klasma.github.io/Logging_0560/klagomål/A 63334-2019.docx", "A 63334-2019")</f>
        <v/>
      </c>
      <c r="W61">
        <f>HYPERLINK("https://klasma.github.io/Logging_0560/klagomålsmail/A 63334-2019.docx", "A 63334-2019")</f>
        <v/>
      </c>
      <c r="X61">
        <f>HYPERLINK("https://klasma.github.io/Logging_0560/tillsyn/A 63334-2019.docx", "A 63334-2019")</f>
        <v/>
      </c>
      <c r="Y61">
        <f>HYPERLINK("https://klasma.github.io/Logging_0560/tillsynsmail/A 63334-2019.docx", "A 63334-2019")</f>
        <v/>
      </c>
    </row>
    <row r="62" ht="15" customHeight="1">
      <c r="A62" t="inlineStr">
        <is>
          <t>A 3286-2020</t>
        </is>
      </c>
      <c r="B62" s="1" t="n">
        <v>43852</v>
      </c>
      <c r="C62" s="1" t="n">
        <v>45211</v>
      </c>
      <c r="D62" t="inlineStr">
        <is>
          <t>ÖSTERGÖTLANDS LÄN</t>
        </is>
      </c>
      <c r="E62" t="inlineStr">
        <is>
          <t>LINKÖPING</t>
        </is>
      </c>
      <c r="G62" t="n">
        <v>7.1</v>
      </c>
      <c r="H62" t="n">
        <v>1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0</v>
      </c>
      <c r="O62" t="n">
        <v>2</v>
      </c>
      <c r="P62" t="n">
        <v>0</v>
      </c>
      <c r="Q62" t="n">
        <v>4</v>
      </c>
      <c r="R62" s="2" t="inlineStr">
        <is>
          <t>Blekticka
Gul dropplav
Blanksvart trämyra
Ekoxe</t>
        </is>
      </c>
      <c r="S62">
        <f>HYPERLINK("https://klasma.github.io/Logging_0580/artfynd/A 3286-2020.xlsx", "A 3286-2020")</f>
        <v/>
      </c>
      <c r="T62">
        <f>HYPERLINK("https://klasma.github.io/Logging_0580/kartor/A 3286-2020.png", "A 3286-2020")</f>
        <v/>
      </c>
      <c r="V62">
        <f>HYPERLINK("https://klasma.github.io/Logging_0580/klagomål/A 3286-2020.docx", "A 3286-2020")</f>
        <v/>
      </c>
      <c r="W62">
        <f>HYPERLINK("https://klasma.github.io/Logging_0580/klagomålsmail/A 3286-2020.docx", "A 3286-2020")</f>
        <v/>
      </c>
      <c r="X62">
        <f>HYPERLINK("https://klasma.github.io/Logging_0580/tillsyn/A 3286-2020.docx", "A 3286-2020")</f>
        <v/>
      </c>
      <c r="Y62">
        <f>HYPERLINK("https://klasma.github.io/Logging_0580/tillsynsmail/A 3286-2020.docx", "A 3286-2020")</f>
        <v/>
      </c>
    </row>
    <row r="63" ht="15" customHeight="1">
      <c r="A63" t="inlineStr">
        <is>
          <t>A 8661-2020</t>
        </is>
      </c>
      <c r="B63" s="1" t="n">
        <v>43878</v>
      </c>
      <c r="C63" s="1" t="n">
        <v>45211</v>
      </c>
      <c r="D63" t="inlineStr">
        <is>
          <t>ÖSTERGÖTLANDS LÄN</t>
        </is>
      </c>
      <c r="E63" t="inlineStr">
        <is>
          <t>LINKÖPING</t>
        </is>
      </c>
      <c r="G63" t="n">
        <v>22.5</v>
      </c>
      <c r="H63" t="n">
        <v>2</v>
      </c>
      <c r="I63" t="n">
        <v>0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2</v>
      </c>
      <c r="P63" t="n">
        <v>0</v>
      </c>
      <c r="Q63" t="n">
        <v>4</v>
      </c>
      <c r="R63" s="2" t="inlineStr">
        <is>
          <t>Svinrot
Ängsskära
Blåsippa
Gullviva</t>
        </is>
      </c>
      <c r="S63">
        <f>HYPERLINK("https://klasma.github.io/Logging_0580/artfynd/A 8661-2020.xlsx", "A 8661-2020")</f>
        <v/>
      </c>
      <c r="T63">
        <f>HYPERLINK("https://klasma.github.io/Logging_0580/kartor/A 8661-2020.png", "A 8661-2020")</f>
        <v/>
      </c>
      <c r="V63">
        <f>HYPERLINK("https://klasma.github.io/Logging_0580/klagomål/A 8661-2020.docx", "A 8661-2020")</f>
        <v/>
      </c>
      <c r="W63">
        <f>HYPERLINK("https://klasma.github.io/Logging_0580/klagomålsmail/A 8661-2020.docx", "A 8661-2020")</f>
        <v/>
      </c>
      <c r="X63">
        <f>HYPERLINK("https://klasma.github.io/Logging_0580/tillsyn/A 8661-2020.docx", "A 8661-2020")</f>
        <v/>
      </c>
      <c r="Y63">
        <f>HYPERLINK("https://klasma.github.io/Logging_0580/tillsynsmail/A 8661-2020.docx", "A 8661-2020")</f>
        <v/>
      </c>
    </row>
    <row r="64" ht="15" customHeight="1">
      <c r="A64" t="inlineStr">
        <is>
          <t>A 19094-2020</t>
        </is>
      </c>
      <c r="B64" s="1" t="n">
        <v>43936</v>
      </c>
      <c r="C64" s="1" t="n">
        <v>45211</v>
      </c>
      <c r="D64" t="inlineStr">
        <is>
          <t>ÖSTERGÖTLANDS LÄN</t>
        </is>
      </c>
      <c r="E64" t="inlineStr">
        <is>
          <t>MOTALA</t>
        </is>
      </c>
      <c r="F64" t="inlineStr">
        <is>
          <t>Sveaskog</t>
        </is>
      </c>
      <c r="G64" t="n">
        <v>1.3</v>
      </c>
      <c r="H64" t="n">
        <v>0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0</v>
      </c>
      <c r="O64" t="n">
        <v>2</v>
      </c>
      <c r="P64" t="n">
        <v>0</v>
      </c>
      <c r="Q64" t="n">
        <v>4</v>
      </c>
      <c r="R64" s="2" t="inlineStr">
        <is>
          <t>Gropticka
Torvbägarlav
Flagellkvastmossa
Skuggmossa</t>
        </is>
      </c>
      <c r="S64">
        <f>HYPERLINK("https://klasma.github.io/Logging_0583/artfynd/A 19094-2020.xlsx", "A 19094-2020")</f>
        <v/>
      </c>
      <c r="T64">
        <f>HYPERLINK("https://klasma.github.io/Logging_0583/kartor/A 19094-2020.png", "A 19094-2020")</f>
        <v/>
      </c>
      <c r="V64">
        <f>HYPERLINK("https://klasma.github.io/Logging_0583/klagomål/A 19094-2020.docx", "A 19094-2020")</f>
        <v/>
      </c>
      <c r="W64">
        <f>HYPERLINK("https://klasma.github.io/Logging_0583/klagomålsmail/A 19094-2020.docx", "A 19094-2020")</f>
        <v/>
      </c>
      <c r="X64">
        <f>HYPERLINK("https://klasma.github.io/Logging_0583/tillsyn/A 19094-2020.docx", "A 19094-2020")</f>
        <v/>
      </c>
      <c r="Y64">
        <f>HYPERLINK("https://klasma.github.io/Logging_0583/tillsynsmail/A 19094-2020.docx", "A 19094-2020")</f>
        <v/>
      </c>
    </row>
    <row r="65" ht="15" customHeight="1">
      <c r="A65" t="inlineStr">
        <is>
          <t>A 21081-2020</t>
        </is>
      </c>
      <c r="B65" s="1" t="n">
        <v>43949</v>
      </c>
      <c r="C65" s="1" t="n">
        <v>45211</v>
      </c>
      <c r="D65" t="inlineStr">
        <is>
          <t>ÖSTERGÖTLANDS LÄN</t>
        </is>
      </c>
      <c r="E65" t="inlineStr">
        <is>
          <t>NORRKÖPING</t>
        </is>
      </c>
      <c r="G65" t="n">
        <v>8.4</v>
      </c>
      <c r="H65" t="n">
        <v>0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0</v>
      </c>
      <c r="O65" t="n">
        <v>2</v>
      </c>
      <c r="P65" t="n">
        <v>0</v>
      </c>
      <c r="Q65" t="n">
        <v>4</v>
      </c>
      <c r="R65" s="2" t="inlineStr">
        <is>
          <t>Ullticka
Vedskivlav
Mindre märgborre
Vedticka</t>
        </is>
      </c>
      <c r="S65">
        <f>HYPERLINK("https://klasma.github.io/Logging_0581/artfynd/A 21081-2020.xlsx", "A 21081-2020")</f>
        <v/>
      </c>
      <c r="T65">
        <f>HYPERLINK("https://klasma.github.io/Logging_0581/kartor/A 21081-2020.png", "A 21081-2020")</f>
        <v/>
      </c>
      <c r="V65">
        <f>HYPERLINK("https://klasma.github.io/Logging_0581/klagomål/A 21081-2020.docx", "A 21081-2020")</f>
        <v/>
      </c>
      <c r="W65">
        <f>HYPERLINK("https://klasma.github.io/Logging_0581/klagomålsmail/A 21081-2020.docx", "A 21081-2020")</f>
        <v/>
      </c>
      <c r="X65">
        <f>HYPERLINK("https://klasma.github.io/Logging_0581/tillsyn/A 21081-2020.docx", "A 21081-2020")</f>
        <v/>
      </c>
      <c r="Y65">
        <f>HYPERLINK("https://klasma.github.io/Logging_0581/tillsynsmail/A 21081-2020.docx", "A 21081-2020")</f>
        <v/>
      </c>
    </row>
    <row r="66" ht="15" customHeight="1">
      <c r="A66" t="inlineStr">
        <is>
          <t>A 30913-2020</t>
        </is>
      </c>
      <c r="B66" s="1" t="n">
        <v>44011</v>
      </c>
      <c r="C66" s="1" t="n">
        <v>45211</v>
      </c>
      <c r="D66" t="inlineStr">
        <is>
          <t>ÖSTERGÖTLANDS LÄN</t>
        </is>
      </c>
      <c r="E66" t="inlineStr">
        <is>
          <t>FINSPÅNG</t>
        </is>
      </c>
      <c r="G66" t="n">
        <v>2.9</v>
      </c>
      <c r="H66" t="n">
        <v>1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4</v>
      </c>
      <c r="R66" s="2" t="inlineStr">
        <is>
          <t>Svinrot
Blåmossa
Grönpyrola
Blåsippa</t>
        </is>
      </c>
      <c r="S66">
        <f>HYPERLINK("https://klasma.github.io/Logging_0562/artfynd/A 30913-2020.xlsx", "A 30913-2020")</f>
        <v/>
      </c>
      <c r="T66">
        <f>HYPERLINK("https://klasma.github.io/Logging_0562/kartor/A 30913-2020.png", "A 30913-2020")</f>
        <v/>
      </c>
      <c r="V66">
        <f>HYPERLINK("https://klasma.github.io/Logging_0562/klagomål/A 30913-2020.docx", "A 30913-2020")</f>
        <v/>
      </c>
      <c r="W66">
        <f>HYPERLINK("https://klasma.github.io/Logging_0562/klagomålsmail/A 30913-2020.docx", "A 30913-2020")</f>
        <v/>
      </c>
      <c r="X66">
        <f>HYPERLINK("https://klasma.github.io/Logging_0562/tillsyn/A 30913-2020.docx", "A 30913-2020")</f>
        <v/>
      </c>
      <c r="Y66">
        <f>HYPERLINK("https://klasma.github.io/Logging_0562/tillsynsmail/A 30913-2020.docx", "A 30913-2020")</f>
        <v/>
      </c>
    </row>
    <row r="67" ht="15" customHeight="1">
      <c r="A67" t="inlineStr">
        <is>
          <t>A 40049-2020</t>
        </is>
      </c>
      <c r="B67" s="1" t="n">
        <v>44067</v>
      </c>
      <c r="C67" s="1" t="n">
        <v>45211</v>
      </c>
      <c r="D67" t="inlineStr">
        <is>
          <t>ÖSTERGÖTLANDS LÄN</t>
        </is>
      </c>
      <c r="E67" t="inlineStr">
        <is>
          <t>NORRKÖPING</t>
        </is>
      </c>
      <c r="G67" t="n">
        <v>10.5</v>
      </c>
      <c r="H67" t="n">
        <v>0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4</v>
      </c>
      <c r="R67" s="2" t="inlineStr">
        <is>
          <t>Tallticka
Blomkålssvamp
Blåmossa
Grovticka</t>
        </is>
      </c>
      <c r="S67">
        <f>HYPERLINK("https://klasma.github.io/Logging_0581/artfynd/A 40049-2020.xlsx", "A 40049-2020")</f>
        <v/>
      </c>
      <c r="T67">
        <f>HYPERLINK("https://klasma.github.io/Logging_0581/kartor/A 40049-2020.png", "A 40049-2020")</f>
        <v/>
      </c>
      <c r="V67">
        <f>HYPERLINK("https://klasma.github.io/Logging_0581/klagomål/A 40049-2020.docx", "A 40049-2020")</f>
        <v/>
      </c>
      <c r="W67">
        <f>HYPERLINK("https://klasma.github.io/Logging_0581/klagomålsmail/A 40049-2020.docx", "A 40049-2020")</f>
        <v/>
      </c>
      <c r="X67">
        <f>HYPERLINK("https://klasma.github.io/Logging_0581/tillsyn/A 40049-2020.docx", "A 40049-2020")</f>
        <v/>
      </c>
      <c r="Y67">
        <f>HYPERLINK("https://klasma.github.io/Logging_0581/tillsynsmail/A 40049-2020.docx", "A 40049-2020")</f>
        <v/>
      </c>
    </row>
    <row r="68" ht="15" customHeight="1">
      <c r="A68" t="inlineStr">
        <is>
          <t>A 9383-2021</t>
        </is>
      </c>
      <c r="B68" s="1" t="n">
        <v>44250</v>
      </c>
      <c r="C68" s="1" t="n">
        <v>45211</v>
      </c>
      <c r="D68" t="inlineStr">
        <is>
          <t>ÖSTERGÖTLANDS LÄN</t>
        </is>
      </c>
      <c r="E68" t="inlineStr">
        <is>
          <t>ÅTVIDABERG</t>
        </is>
      </c>
      <c r="F68" t="inlineStr">
        <is>
          <t>Sveaskog</t>
        </is>
      </c>
      <c r="G68" t="n">
        <v>2.4</v>
      </c>
      <c r="H68" t="n">
        <v>0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4</v>
      </c>
      <c r="R68" s="2" t="inlineStr">
        <is>
          <t>Vedtrappmossa
Fällmossa
Platt fjädermossa
Tibast</t>
        </is>
      </c>
      <c r="S68">
        <f>HYPERLINK("https://klasma.github.io/Logging_0561/artfynd/A 9383-2021.xlsx", "A 9383-2021")</f>
        <v/>
      </c>
      <c r="T68">
        <f>HYPERLINK("https://klasma.github.io/Logging_0561/kartor/A 9383-2021.png", "A 9383-2021")</f>
        <v/>
      </c>
      <c r="U68">
        <f>HYPERLINK("https://klasma.github.io/Logging_0561/knärot/A 9383-2021.png", "A 9383-2021")</f>
        <v/>
      </c>
      <c r="V68">
        <f>HYPERLINK("https://klasma.github.io/Logging_0561/klagomål/A 9383-2021.docx", "A 9383-2021")</f>
        <v/>
      </c>
      <c r="W68">
        <f>HYPERLINK("https://klasma.github.io/Logging_0561/klagomålsmail/A 9383-2021.docx", "A 9383-2021")</f>
        <v/>
      </c>
      <c r="X68">
        <f>HYPERLINK("https://klasma.github.io/Logging_0561/tillsyn/A 9383-2021.docx", "A 9383-2021")</f>
        <v/>
      </c>
      <c r="Y68">
        <f>HYPERLINK("https://klasma.github.io/Logging_0561/tillsynsmail/A 9383-2021.docx", "A 9383-2021")</f>
        <v/>
      </c>
    </row>
    <row r="69" ht="15" customHeight="1">
      <c r="A69" t="inlineStr">
        <is>
          <t>A 40970-2021</t>
        </is>
      </c>
      <c r="B69" s="1" t="n">
        <v>44421</v>
      </c>
      <c r="C69" s="1" t="n">
        <v>45211</v>
      </c>
      <c r="D69" t="inlineStr">
        <is>
          <t>ÖSTERGÖTLANDS LÄN</t>
        </is>
      </c>
      <c r="E69" t="inlineStr">
        <is>
          <t>LINKÖPING</t>
        </is>
      </c>
      <c r="F69" t="inlineStr">
        <is>
          <t>Kommuner</t>
        </is>
      </c>
      <c r="G69" t="n">
        <v>2.2</v>
      </c>
      <c r="H69" t="n">
        <v>2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1</v>
      </c>
      <c r="Q69" t="n">
        <v>4</v>
      </c>
      <c r="R69" s="2" t="inlineStr">
        <is>
          <t>Bombmurkla
Fjällig taggsvamp s.str.
Kryddspindling
Blåsippa</t>
        </is>
      </c>
      <c r="S69">
        <f>HYPERLINK("https://klasma.github.io/Logging_0580/artfynd/A 40970-2021.xlsx", "A 40970-2021")</f>
        <v/>
      </c>
      <c r="T69">
        <f>HYPERLINK("https://klasma.github.io/Logging_0580/kartor/A 40970-2021.png", "A 40970-2021")</f>
        <v/>
      </c>
      <c r="U69">
        <f>HYPERLINK("https://klasma.github.io/Logging_0580/knärot/A 40970-2021.png", "A 40970-2021")</f>
        <v/>
      </c>
      <c r="V69">
        <f>HYPERLINK("https://klasma.github.io/Logging_0580/klagomål/A 40970-2021.docx", "A 40970-2021")</f>
        <v/>
      </c>
      <c r="W69">
        <f>HYPERLINK("https://klasma.github.io/Logging_0580/klagomålsmail/A 40970-2021.docx", "A 40970-2021")</f>
        <v/>
      </c>
      <c r="X69">
        <f>HYPERLINK("https://klasma.github.io/Logging_0580/tillsyn/A 40970-2021.docx", "A 40970-2021")</f>
        <v/>
      </c>
      <c r="Y69">
        <f>HYPERLINK("https://klasma.github.io/Logging_0580/tillsynsmail/A 40970-2021.docx", "A 40970-2021")</f>
        <v/>
      </c>
    </row>
    <row r="70" ht="15" customHeight="1">
      <c r="A70" t="inlineStr">
        <is>
          <t>A 56271-2021</t>
        </is>
      </c>
      <c r="B70" s="1" t="n">
        <v>44479</v>
      </c>
      <c r="C70" s="1" t="n">
        <v>45211</v>
      </c>
      <c r="D70" t="inlineStr">
        <is>
          <t>ÖSTERGÖTLANDS LÄN</t>
        </is>
      </c>
      <c r="E70" t="inlineStr">
        <is>
          <t>LINKÖPING</t>
        </is>
      </c>
      <c r="F70" t="inlineStr">
        <is>
          <t>Övriga Aktiebolag</t>
        </is>
      </c>
      <c r="G70" t="n">
        <v>1.8</v>
      </c>
      <c r="H70" t="n">
        <v>2</v>
      </c>
      <c r="I70" t="n">
        <v>1</v>
      </c>
      <c r="J70" t="n">
        <v>2</v>
      </c>
      <c r="K70" t="n">
        <v>0</v>
      </c>
      <c r="L70" t="n">
        <v>0</v>
      </c>
      <c r="M70" t="n">
        <v>0</v>
      </c>
      <c r="N70" t="n">
        <v>0</v>
      </c>
      <c r="O70" t="n">
        <v>2</v>
      </c>
      <c r="P70" t="n">
        <v>0</v>
      </c>
      <c r="Q70" t="n">
        <v>4</v>
      </c>
      <c r="R70" s="2" t="inlineStr">
        <is>
          <t>Dårgräsfjäril
Ekticka
Fällmossa
Blåsippa</t>
        </is>
      </c>
      <c r="S70">
        <f>HYPERLINK("https://klasma.github.io/Logging_0580/artfynd/A 56271-2021.xlsx", "A 56271-2021")</f>
        <v/>
      </c>
      <c r="T70">
        <f>HYPERLINK("https://klasma.github.io/Logging_0580/kartor/A 56271-2021.png", "A 56271-2021")</f>
        <v/>
      </c>
      <c r="V70">
        <f>HYPERLINK("https://klasma.github.io/Logging_0580/klagomål/A 56271-2021.docx", "A 56271-2021")</f>
        <v/>
      </c>
      <c r="W70">
        <f>HYPERLINK("https://klasma.github.io/Logging_0580/klagomålsmail/A 56271-2021.docx", "A 56271-2021")</f>
        <v/>
      </c>
      <c r="X70">
        <f>HYPERLINK("https://klasma.github.io/Logging_0580/tillsyn/A 56271-2021.docx", "A 56271-2021")</f>
        <v/>
      </c>
      <c r="Y70">
        <f>HYPERLINK("https://klasma.github.io/Logging_0580/tillsynsmail/A 56271-2021.docx", "A 56271-2021")</f>
        <v/>
      </c>
    </row>
    <row r="71" ht="15" customHeight="1">
      <c r="A71" t="inlineStr">
        <is>
          <t>A 65599-2021</t>
        </is>
      </c>
      <c r="B71" s="1" t="n">
        <v>44516</v>
      </c>
      <c r="C71" s="1" t="n">
        <v>45211</v>
      </c>
      <c r="D71" t="inlineStr">
        <is>
          <t>ÖSTERGÖTLANDS LÄN</t>
        </is>
      </c>
      <c r="E71" t="inlineStr">
        <is>
          <t>ÅTVIDABERG</t>
        </is>
      </c>
      <c r="F71" t="inlineStr">
        <is>
          <t>Sveaskog</t>
        </is>
      </c>
      <c r="G71" t="n">
        <v>4.6</v>
      </c>
      <c r="H71" t="n">
        <v>0</v>
      </c>
      <c r="I71" t="n">
        <v>0</v>
      </c>
      <c r="J71" t="n">
        <v>4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4</v>
      </c>
      <c r="R71" s="2" t="inlineStr">
        <is>
          <t>Blekticka
Ekticka
Korskovall
Oxtungssvamp</t>
        </is>
      </c>
      <c r="S71">
        <f>HYPERLINK("https://klasma.github.io/Logging_0561/artfynd/A 65599-2021.xlsx", "A 65599-2021")</f>
        <v/>
      </c>
      <c r="T71">
        <f>HYPERLINK("https://klasma.github.io/Logging_0561/kartor/A 65599-2021.png", "A 65599-2021")</f>
        <v/>
      </c>
      <c r="V71">
        <f>HYPERLINK("https://klasma.github.io/Logging_0561/klagomål/A 65599-2021.docx", "A 65599-2021")</f>
        <v/>
      </c>
      <c r="W71">
        <f>HYPERLINK("https://klasma.github.io/Logging_0561/klagomålsmail/A 65599-2021.docx", "A 65599-2021")</f>
        <v/>
      </c>
      <c r="X71">
        <f>HYPERLINK("https://klasma.github.io/Logging_0561/tillsyn/A 65599-2021.docx", "A 65599-2021")</f>
        <v/>
      </c>
      <c r="Y71">
        <f>HYPERLINK("https://klasma.github.io/Logging_0561/tillsynsmail/A 65599-2021.docx", "A 65599-2021")</f>
        <v/>
      </c>
    </row>
    <row r="72" ht="15" customHeight="1">
      <c r="A72" t="inlineStr">
        <is>
          <t>A 2165-2022</t>
        </is>
      </c>
      <c r="B72" s="1" t="n">
        <v>44578</v>
      </c>
      <c r="C72" s="1" t="n">
        <v>45211</v>
      </c>
      <c r="D72" t="inlineStr">
        <is>
          <t>ÖSTERGÖTLANDS LÄN</t>
        </is>
      </c>
      <c r="E72" t="inlineStr">
        <is>
          <t>NORRKÖPING</t>
        </is>
      </c>
      <c r="F72" t="inlineStr">
        <is>
          <t>BillerudKorsnäs AB</t>
        </is>
      </c>
      <c r="G72" t="n">
        <v>2.1</v>
      </c>
      <c r="H72" t="n">
        <v>2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4</v>
      </c>
      <c r="R72" s="2" t="inlineStr">
        <is>
          <t>Röd skogslilja
Granbarkgnagare
Stubbspretmossa
Blåsippa</t>
        </is>
      </c>
      <c r="S72">
        <f>HYPERLINK("https://klasma.github.io/Logging_0581/artfynd/A 2165-2022.xlsx", "A 2165-2022")</f>
        <v/>
      </c>
      <c r="T72">
        <f>HYPERLINK("https://klasma.github.io/Logging_0581/kartor/A 2165-2022.png", "A 2165-2022")</f>
        <v/>
      </c>
      <c r="V72">
        <f>HYPERLINK("https://klasma.github.io/Logging_0581/klagomål/A 2165-2022.docx", "A 2165-2022")</f>
        <v/>
      </c>
      <c r="W72">
        <f>HYPERLINK("https://klasma.github.io/Logging_0581/klagomålsmail/A 2165-2022.docx", "A 2165-2022")</f>
        <v/>
      </c>
      <c r="X72">
        <f>HYPERLINK("https://klasma.github.io/Logging_0581/tillsyn/A 2165-2022.docx", "A 2165-2022")</f>
        <v/>
      </c>
      <c r="Y72">
        <f>HYPERLINK("https://klasma.github.io/Logging_0581/tillsynsmail/A 2165-2022.docx", "A 2165-2022")</f>
        <v/>
      </c>
    </row>
    <row r="73" ht="15" customHeight="1">
      <c r="A73" t="inlineStr">
        <is>
          <t>A 32058-2022</t>
        </is>
      </c>
      <c r="B73" s="1" t="n">
        <v>44778</v>
      </c>
      <c r="C73" s="1" t="n">
        <v>45211</v>
      </c>
      <c r="D73" t="inlineStr">
        <is>
          <t>ÖSTERGÖTLANDS LÄN</t>
        </is>
      </c>
      <c r="E73" t="inlineStr">
        <is>
          <t>ÅTVIDABERG</t>
        </is>
      </c>
      <c r="G73" t="n">
        <v>0.2</v>
      </c>
      <c r="H73" t="n">
        <v>2</v>
      </c>
      <c r="I73" t="n">
        <v>1</v>
      </c>
      <c r="J73" t="n">
        <v>2</v>
      </c>
      <c r="K73" t="n">
        <v>1</v>
      </c>
      <c r="L73" t="n">
        <v>0</v>
      </c>
      <c r="M73" t="n">
        <v>0</v>
      </c>
      <c r="N73" t="n">
        <v>0</v>
      </c>
      <c r="O73" t="n">
        <v>3</v>
      </c>
      <c r="P73" t="n">
        <v>1</v>
      </c>
      <c r="Q73" t="n">
        <v>4</v>
      </c>
      <c r="R73" s="2" t="inlineStr">
        <is>
          <t>Knärot
Talltita
Ullticka
Blomkålssvamp</t>
        </is>
      </c>
      <c r="S73">
        <f>HYPERLINK("https://klasma.github.io/Logging_0561/artfynd/A 32058-2022.xlsx", "A 32058-2022")</f>
        <v/>
      </c>
      <c r="T73">
        <f>HYPERLINK("https://klasma.github.io/Logging_0561/kartor/A 32058-2022.png", "A 32058-2022")</f>
        <v/>
      </c>
      <c r="U73">
        <f>HYPERLINK("https://klasma.github.io/Logging_0561/knärot/A 32058-2022.png", "A 32058-2022")</f>
        <v/>
      </c>
      <c r="V73">
        <f>HYPERLINK("https://klasma.github.io/Logging_0561/klagomål/A 32058-2022.docx", "A 32058-2022")</f>
        <v/>
      </c>
      <c r="W73">
        <f>HYPERLINK("https://klasma.github.io/Logging_0561/klagomålsmail/A 32058-2022.docx", "A 32058-2022")</f>
        <v/>
      </c>
      <c r="X73">
        <f>HYPERLINK("https://klasma.github.io/Logging_0561/tillsyn/A 32058-2022.docx", "A 32058-2022")</f>
        <v/>
      </c>
      <c r="Y73">
        <f>HYPERLINK("https://klasma.github.io/Logging_0561/tillsynsmail/A 32058-2022.docx", "A 32058-2022")</f>
        <v/>
      </c>
    </row>
    <row r="74" ht="15" customHeight="1">
      <c r="A74" t="inlineStr">
        <is>
          <t>A 40422-2022</t>
        </is>
      </c>
      <c r="B74" s="1" t="n">
        <v>44823</v>
      </c>
      <c r="C74" s="1" t="n">
        <v>45211</v>
      </c>
      <c r="D74" t="inlineStr">
        <is>
          <t>ÖSTERGÖTLANDS LÄN</t>
        </is>
      </c>
      <c r="E74" t="inlineStr">
        <is>
          <t>ÅTVIDABERG</t>
        </is>
      </c>
      <c r="G74" t="n">
        <v>11.3</v>
      </c>
      <c r="H74" t="n">
        <v>2</v>
      </c>
      <c r="I74" t="n">
        <v>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s="2" t="inlineStr">
        <is>
          <t>Grön sköldmossa
Korallrot
Stubbspretmossa
Tibast</t>
        </is>
      </c>
      <c r="S74">
        <f>HYPERLINK("https://klasma.github.io/Logging_0561/artfynd/A 40422-2022.xlsx", "A 40422-2022")</f>
        <v/>
      </c>
      <c r="T74">
        <f>HYPERLINK("https://klasma.github.io/Logging_0561/kartor/A 40422-2022.png", "A 40422-2022")</f>
        <v/>
      </c>
      <c r="V74">
        <f>HYPERLINK("https://klasma.github.io/Logging_0561/klagomål/A 40422-2022.docx", "A 40422-2022")</f>
        <v/>
      </c>
      <c r="W74">
        <f>HYPERLINK("https://klasma.github.io/Logging_0561/klagomålsmail/A 40422-2022.docx", "A 40422-2022")</f>
        <v/>
      </c>
      <c r="X74">
        <f>HYPERLINK("https://klasma.github.io/Logging_0561/tillsyn/A 40422-2022.docx", "A 40422-2022")</f>
        <v/>
      </c>
      <c r="Y74">
        <f>HYPERLINK("https://klasma.github.io/Logging_0561/tillsynsmail/A 40422-2022.docx", "A 40422-2022")</f>
        <v/>
      </c>
    </row>
    <row r="75" ht="15" customHeight="1">
      <c r="A75" t="inlineStr">
        <is>
          <t>A 6352-2023</t>
        </is>
      </c>
      <c r="B75" s="1" t="n">
        <v>44965</v>
      </c>
      <c r="C75" s="1" t="n">
        <v>45211</v>
      </c>
      <c r="D75" t="inlineStr">
        <is>
          <t>ÖSTERGÖTLANDS LÄN</t>
        </is>
      </c>
      <c r="E75" t="inlineStr">
        <is>
          <t>LINKÖPING</t>
        </is>
      </c>
      <c r="G75" t="n">
        <v>2.8</v>
      </c>
      <c r="H75" t="n">
        <v>3</v>
      </c>
      <c r="I75" t="n">
        <v>0</v>
      </c>
      <c r="J75" t="n">
        <v>2</v>
      </c>
      <c r="K75" t="n">
        <v>1</v>
      </c>
      <c r="L75" t="n">
        <v>1</v>
      </c>
      <c r="M75" t="n">
        <v>0</v>
      </c>
      <c r="N75" t="n">
        <v>0</v>
      </c>
      <c r="O75" t="n">
        <v>4</v>
      </c>
      <c r="P75" t="n">
        <v>2</v>
      </c>
      <c r="Q75" t="n">
        <v>4</v>
      </c>
      <c r="R75" s="2" t="inlineStr">
        <is>
          <t>Grönfink
Stare
Blekticka
Gulsparv</t>
        </is>
      </c>
      <c r="S75">
        <f>HYPERLINK("https://klasma.github.io/Logging_0580/artfynd/A 6352-2023.xlsx", "A 6352-2023")</f>
        <v/>
      </c>
      <c r="T75">
        <f>HYPERLINK("https://klasma.github.io/Logging_0580/kartor/A 6352-2023.png", "A 6352-2023")</f>
        <v/>
      </c>
      <c r="V75">
        <f>HYPERLINK("https://klasma.github.io/Logging_0580/klagomål/A 6352-2023.docx", "A 6352-2023")</f>
        <v/>
      </c>
      <c r="W75">
        <f>HYPERLINK("https://klasma.github.io/Logging_0580/klagomålsmail/A 6352-2023.docx", "A 6352-2023")</f>
        <v/>
      </c>
      <c r="X75">
        <f>HYPERLINK("https://klasma.github.io/Logging_0580/tillsyn/A 6352-2023.docx", "A 6352-2023")</f>
        <v/>
      </c>
      <c r="Y75">
        <f>HYPERLINK("https://klasma.github.io/Logging_0580/tillsynsmail/A 6352-2023.docx", "A 6352-2023")</f>
        <v/>
      </c>
    </row>
    <row r="76" ht="15" customHeight="1">
      <c r="A76" t="inlineStr">
        <is>
          <t>A 26284-2023</t>
        </is>
      </c>
      <c r="B76" s="1" t="n">
        <v>45091</v>
      </c>
      <c r="C76" s="1" t="n">
        <v>45211</v>
      </c>
      <c r="D76" t="inlineStr">
        <is>
          <t>ÖSTERGÖTLANDS LÄN</t>
        </is>
      </c>
      <c r="E76" t="inlineStr">
        <is>
          <t>FINSPÅNG</t>
        </is>
      </c>
      <c r="F76" t="inlineStr">
        <is>
          <t>Holmen skog AB</t>
        </is>
      </c>
      <c r="G76" t="n">
        <v>6.6</v>
      </c>
      <c r="H76" t="n">
        <v>0</v>
      </c>
      <c r="I76" t="n">
        <v>2</v>
      </c>
      <c r="J76" t="n">
        <v>2</v>
      </c>
      <c r="K76" t="n">
        <v>0</v>
      </c>
      <c r="L76" t="n">
        <v>0</v>
      </c>
      <c r="M76" t="n">
        <v>0</v>
      </c>
      <c r="N76" t="n">
        <v>0</v>
      </c>
      <c r="O76" t="n">
        <v>2</v>
      </c>
      <c r="P76" t="n">
        <v>0</v>
      </c>
      <c r="Q76" t="n">
        <v>4</v>
      </c>
      <c r="R76" s="2" t="inlineStr">
        <is>
          <t>Motaggsvamp
Vedskivlav
Blåmossa
Stor revmossa</t>
        </is>
      </c>
      <c r="S76">
        <f>HYPERLINK("https://klasma.github.io/Logging_0562/artfynd/A 26284-2023.xlsx", "A 26284-2023")</f>
        <v/>
      </c>
      <c r="T76">
        <f>HYPERLINK("https://klasma.github.io/Logging_0562/kartor/A 26284-2023.png", "A 26284-2023")</f>
        <v/>
      </c>
      <c r="V76">
        <f>HYPERLINK("https://klasma.github.io/Logging_0562/klagomål/A 26284-2023.docx", "A 26284-2023")</f>
        <v/>
      </c>
      <c r="W76">
        <f>HYPERLINK("https://klasma.github.io/Logging_0562/klagomålsmail/A 26284-2023.docx", "A 26284-2023")</f>
        <v/>
      </c>
      <c r="X76">
        <f>HYPERLINK("https://klasma.github.io/Logging_0562/tillsyn/A 26284-2023.docx", "A 26284-2023")</f>
        <v/>
      </c>
      <c r="Y76">
        <f>HYPERLINK("https://klasma.github.io/Logging_0562/tillsynsmail/A 26284-2023.docx", "A 26284-2023")</f>
        <v/>
      </c>
    </row>
    <row r="77" ht="15" customHeight="1">
      <c r="A77" t="inlineStr">
        <is>
          <t>A 31652-2023</t>
        </is>
      </c>
      <c r="B77" s="1" t="n">
        <v>45117</v>
      </c>
      <c r="C77" s="1" t="n">
        <v>45211</v>
      </c>
      <c r="D77" t="inlineStr">
        <is>
          <t>ÖSTERGÖTLANDS LÄN</t>
        </is>
      </c>
      <c r="E77" t="inlineStr">
        <is>
          <t>NORRKÖPING</t>
        </is>
      </c>
      <c r="F77" t="inlineStr">
        <is>
          <t>Holmen skog AB</t>
        </is>
      </c>
      <c r="G77" t="n">
        <v>1.6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2</v>
      </c>
      <c r="P77" t="n">
        <v>1</v>
      </c>
      <c r="Q77" t="n">
        <v>4</v>
      </c>
      <c r="R77" s="2" t="inlineStr">
        <is>
          <t>Knärot
Ullticka
Blåmossa
Vedticka</t>
        </is>
      </c>
      <c r="S77">
        <f>HYPERLINK("https://klasma.github.io/Logging_0581/artfynd/A 31652-2023.xlsx", "A 31652-2023")</f>
        <v/>
      </c>
      <c r="T77">
        <f>HYPERLINK("https://klasma.github.io/Logging_0581/kartor/A 31652-2023.png", "A 31652-2023")</f>
        <v/>
      </c>
      <c r="U77">
        <f>HYPERLINK("https://klasma.github.io/Logging_0581/knärot/A 31652-2023.png", "A 31652-2023")</f>
        <v/>
      </c>
      <c r="V77">
        <f>HYPERLINK("https://klasma.github.io/Logging_0581/klagomål/A 31652-2023.docx", "A 31652-2023")</f>
        <v/>
      </c>
      <c r="W77">
        <f>HYPERLINK("https://klasma.github.io/Logging_0581/klagomålsmail/A 31652-2023.docx", "A 31652-2023")</f>
        <v/>
      </c>
      <c r="X77">
        <f>HYPERLINK("https://klasma.github.io/Logging_0581/tillsyn/A 31652-2023.docx", "A 31652-2023")</f>
        <v/>
      </c>
      <c r="Y77">
        <f>HYPERLINK("https://klasma.github.io/Logging_0581/tillsynsmail/A 31652-2023.docx", "A 31652-2023")</f>
        <v/>
      </c>
    </row>
    <row r="78" ht="15" customHeight="1">
      <c r="A78" t="inlineStr">
        <is>
          <t>A 58553-2018</t>
        </is>
      </c>
      <c r="B78" s="1" t="n">
        <v>43409</v>
      </c>
      <c r="C78" s="1" t="n">
        <v>45211</v>
      </c>
      <c r="D78" t="inlineStr">
        <is>
          <t>ÖSTERGÖTLANDS LÄN</t>
        </is>
      </c>
      <c r="E78" t="inlineStr">
        <is>
          <t>YDRE</t>
        </is>
      </c>
      <c r="G78" t="n">
        <v>2.3</v>
      </c>
      <c r="H78" t="n">
        <v>3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3</v>
      </c>
      <c r="R78" s="2" t="inlineStr">
        <is>
          <t>Nordfladdermus
Dvärgpipistrell
Större brunfladdermus</t>
        </is>
      </c>
      <c r="S78">
        <f>HYPERLINK("https://klasma.github.io/Logging_0512/artfynd/A 58553-2018.xlsx", "A 58553-2018")</f>
        <v/>
      </c>
      <c r="T78">
        <f>HYPERLINK("https://klasma.github.io/Logging_0512/kartor/A 58553-2018.png", "A 58553-2018")</f>
        <v/>
      </c>
      <c r="V78">
        <f>HYPERLINK("https://klasma.github.io/Logging_0512/klagomål/A 58553-2018.docx", "A 58553-2018")</f>
        <v/>
      </c>
      <c r="W78">
        <f>HYPERLINK("https://klasma.github.io/Logging_0512/klagomålsmail/A 58553-2018.docx", "A 58553-2018")</f>
        <v/>
      </c>
      <c r="X78">
        <f>HYPERLINK("https://klasma.github.io/Logging_0512/tillsyn/A 58553-2018.docx", "A 58553-2018")</f>
        <v/>
      </c>
      <c r="Y78">
        <f>HYPERLINK("https://klasma.github.io/Logging_0512/tillsynsmail/A 58553-2018.docx", "A 58553-2018")</f>
        <v/>
      </c>
    </row>
    <row r="79" ht="15" customHeight="1">
      <c r="A79" t="inlineStr">
        <is>
          <t>A 69584-2018</t>
        </is>
      </c>
      <c r="B79" s="1" t="n">
        <v>43446</v>
      </c>
      <c r="C79" s="1" t="n">
        <v>45211</v>
      </c>
      <c r="D79" t="inlineStr">
        <is>
          <t>ÖSTERGÖTLANDS LÄN</t>
        </is>
      </c>
      <c r="E79" t="inlineStr">
        <is>
          <t>NORRKÖPING</t>
        </is>
      </c>
      <c r="F79" t="inlineStr">
        <is>
          <t>Allmännings- och besparingsskogar</t>
        </is>
      </c>
      <c r="G79" t="n">
        <v>4</v>
      </c>
      <c r="H79" t="n">
        <v>2</v>
      </c>
      <c r="I79" t="n">
        <v>1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2</v>
      </c>
      <c r="P79" t="n">
        <v>1</v>
      </c>
      <c r="Q79" t="n">
        <v>3</v>
      </c>
      <c r="R79" s="2" t="inlineStr">
        <is>
          <t>Knärot
Spillkråka
Grönpyrola</t>
        </is>
      </c>
      <c r="S79">
        <f>HYPERLINK("https://klasma.github.io/Logging_0581/artfynd/A 69584-2018.xlsx", "A 69584-2018")</f>
        <v/>
      </c>
      <c r="T79">
        <f>HYPERLINK("https://klasma.github.io/Logging_0581/kartor/A 69584-2018.png", "A 69584-2018")</f>
        <v/>
      </c>
      <c r="U79">
        <f>HYPERLINK("https://klasma.github.io/Logging_0581/knärot/A 69584-2018.png", "A 69584-2018")</f>
        <v/>
      </c>
      <c r="V79">
        <f>HYPERLINK("https://klasma.github.io/Logging_0581/klagomål/A 69584-2018.docx", "A 69584-2018")</f>
        <v/>
      </c>
      <c r="W79">
        <f>HYPERLINK("https://klasma.github.io/Logging_0581/klagomålsmail/A 69584-2018.docx", "A 69584-2018")</f>
        <v/>
      </c>
      <c r="X79">
        <f>HYPERLINK("https://klasma.github.io/Logging_0581/tillsyn/A 69584-2018.docx", "A 69584-2018")</f>
        <v/>
      </c>
      <c r="Y79">
        <f>HYPERLINK("https://klasma.github.io/Logging_0581/tillsynsmail/A 69584-2018.docx", "A 69584-2018")</f>
        <v/>
      </c>
    </row>
    <row r="80" ht="15" customHeight="1">
      <c r="A80" t="inlineStr">
        <is>
          <t>A 5622-2019</t>
        </is>
      </c>
      <c r="B80" s="1" t="n">
        <v>43489</v>
      </c>
      <c r="C80" s="1" t="n">
        <v>45211</v>
      </c>
      <c r="D80" t="inlineStr">
        <is>
          <t>ÖSTERGÖTLANDS LÄN</t>
        </is>
      </c>
      <c r="E80" t="inlineStr">
        <is>
          <t>LINKÖPING</t>
        </is>
      </c>
      <c r="F80" t="inlineStr">
        <is>
          <t>Kyrkan</t>
        </is>
      </c>
      <c r="G80" t="n">
        <v>2.6</v>
      </c>
      <c r="H80" t="n">
        <v>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3</v>
      </c>
      <c r="R80" s="2" t="inlineStr">
        <is>
          <t>Gammelekslav
Sotlav
Blåsippa</t>
        </is>
      </c>
      <c r="S80">
        <f>HYPERLINK("https://klasma.github.io/Logging_0580/artfynd/A 5622-2019.xlsx", "A 5622-2019")</f>
        <v/>
      </c>
      <c r="T80">
        <f>HYPERLINK("https://klasma.github.io/Logging_0580/kartor/A 5622-2019.png", "A 5622-2019")</f>
        <v/>
      </c>
      <c r="V80">
        <f>HYPERLINK("https://klasma.github.io/Logging_0580/klagomål/A 5622-2019.docx", "A 5622-2019")</f>
        <v/>
      </c>
      <c r="W80">
        <f>HYPERLINK("https://klasma.github.io/Logging_0580/klagomålsmail/A 5622-2019.docx", "A 5622-2019")</f>
        <v/>
      </c>
      <c r="X80">
        <f>HYPERLINK("https://klasma.github.io/Logging_0580/tillsyn/A 5622-2019.docx", "A 5622-2019")</f>
        <v/>
      </c>
      <c r="Y80">
        <f>HYPERLINK("https://klasma.github.io/Logging_0580/tillsynsmail/A 5622-2019.docx", "A 5622-2019")</f>
        <v/>
      </c>
    </row>
    <row r="81" ht="15" customHeight="1">
      <c r="A81" t="inlineStr">
        <is>
          <t>A 11419-2019</t>
        </is>
      </c>
      <c r="B81" s="1" t="n">
        <v>43517</v>
      </c>
      <c r="C81" s="1" t="n">
        <v>45211</v>
      </c>
      <c r="D81" t="inlineStr">
        <is>
          <t>ÖSTERGÖTLANDS LÄN</t>
        </is>
      </c>
      <c r="E81" t="inlineStr">
        <is>
          <t>YDRE</t>
        </is>
      </c>
      <c r="G81" t="n">
        <v>3.4</v>
      </c>
      <c r="H81" t="n">
        <v>0</v>
      </c>
      <c r="I81" t="n">
        <v>0</v>
      </c>
      <c r="J81" t="n">
        <v>1</v>
      </c>
      <c r="K81" t="n">
        <v>2</v>
      </c>
      <c r="L81" t="n">
        <v>0</v>
      </c>
      <c r="M81" t="n">
        <v>0</v>
      </c>
      <c r="N81" t="n">
        <v>0</v>
      </c>
      <c r="O81" t="n">
        <v>3</v>
      </c>
      <c r="P81" t="n">
        <v>2</v>
      </c>
      <c r="Q81" t="n">
        <v>3</v>
      </c>
      <c r="R81" s="2" t="inlineStr">
        <is>
          <t>Lake
Slåttergubbe
Bergsimpa</t>
        </is>
      </c>
      <c r="S81">
        <f>HYPERLINK("https://klasma.github.io/Logging_0512/artfynd/A 11419-2019.xlsx", "A 11419-2019")</f>
        <v/>
      </c>
      <c r="T81">
        <f>HYPERLINK("https://klasma.github.io/Logging_0512/kartor/A 11419-2019.png", "A 11419-2019")</f>
        <v/>
      </c>
      <c r="V81">
        <f>HYPERLINK("https://klasma.github.io/Logging_0512/klagomål/A 11419-2019.docx", "A 11419-2019")</f>
        <v/>
      </c>
      <c r="W81">
        <f>HYPERLINK("https://klasma.github.io/Logging_0512/klagomålsmail/A 11419-2019.docx", "A 11419-2019")</f>
        <v/>
      </c>
      <c r="X81">
        <f>HYPERLINK("https://klasma.github.io/Logging_0512/tillsyn/A 11419-2019.docx", "A 11419-2019")</f>
        <v/>
      </c>
      <c r="Y81">
        <f>HYPERLINK("https://klasma.github.io/Logging_0512/tillsynsmail/A 11419-2019.docx", "A 11419-2019")</f>
        <v/>
      </c>
    </row>
    <row r="82" ht="15" customHeight="1">
      <c r="A82" t="inlineStr">
        <is>
          <t>A 20300-2019</t>
        </is>
      </c>
      <c r="B82" s="1" t="n">
        <v>43570</v>
      </c>
      <c r="C82" s="1" t="n">
        <v>45211</v>
      </c>
      <c r="D82" t="inlineStr">
        <is>
          <t>ÖSTERGÖTLANDS LÄN</t>
        </is>
      </c>
      <c r="E82" t="inlineStr">
        <is>
          <t>ÖDESHÖG</t>
        </is>
      </c>
      <c r="G82" t="n">
        <v>18.2</v>
      </c>
      <c r="H82" t="n">
        <v>1</v>
      </c>
      <c r="I82" t="n">
        <v>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</v>
      </c>
      <c r="R82" s="2" t="inlineStr">
        <is>
          <t>Skogsbräsma
Strutbräken
Grönvit nattviol</t>
        </is>
      </c>
      <c r="S82">
        <f>HYPERLINK("https://klasma.github.io/Logging_0509/artfynd/A 20300-2019.xlsx", "A 20300-2019")</f>
        <v/>
      </c>
      <c r="T82">
        <f>HYPERLINK("https://klasma.github.io/Logging_0509/kartor/A 20300-2019.png", "A 20300-2019")</f>
        <v/>
      </c>
      <c r="V82">
        <f>HYPERLINK("https://klasma.github.io/Logging_0509/klagomål/A 20300-2019.docx", "A 20300-2019")</f>
        <v/>
      </c>
      <c r="W82">
        <f>HYPERLINK("https://klasma.github.io/Logging_0509/klagomålsmail/A 20300-2019.docx", "A 20300-2019")</f>
        <v/>
      </c>
      <c r="X82">
        <f>HYPERLINK("https://klasma.github.io/Logging_0509/tillsyn/A 20300-2019.docx", "A 20300-2019")</f>
        <v/>
      </c>
      <c r="Y82">
        <f>HYPERLINK("https://klasma.github.io/Logging_0509/tillsynsmail/A 20300-2019.docx", "A 20300-2019")</f>
        <v/>
      </c>
    </row>
    <row r="83" ht="15" customHeight="1">
      <c r="A83" t="inlineStr">
        <is>
          <t>A 34176-2019</t>
        </is>
      </c>
      <c r="B83" s="1" t="n">
        <v>43655</v>
      </c>
      <c r="C83" s="1" t="n">
        <v>45211</v>
      </c>
      <c r="D83" t="inlineStr">
        <is>
          <t>ÖSTERGÖTLANDS LÄN</t>
        </is>
      </c>
      <c r="E83" t="inlineStr">
        <is>
          <t>NORRKÖPING</t>
        </is>
      </c>
      <c r="F83" t="inlineStr">
        <is>
          <t>Allmännings- och besparingsskogar</t>
        </is>
      </c>
      <c r="G83" t="n">
        <v>8.800000000000001</v>
      </c>
      <c r="H83" t="n">
        <v>0</v>
      </c>
      <c r="I83" t="n">
        <v>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  <c r="R83" s="2" t="inlineStr">
        <is>
          <t>Klippfrullania
Sårläka
Trädporella</t>
        </is>
      </c>
      <c r="S83">
        <f>HYPERLINK("https://klasma.github.io/Logging_0581/artfynd/A 34176-2019.xlsx", "A 34176-2019")</f>
        <v/>
      </c>
      <c r="T83">
        <f>HYPERLINK("https://klasma.github.io/Logging_0581/kartor/A 34176-2019.png", "A 34176-2019")</f>
        <v/>
      </c>
      <c r="V83">
        <f>HYPERLINK("https://klasma.github.io/Logging_0581/klagomål/A 34176-2019.docx", "A 34176-2019")</f>
        <v/>
      </c>
      <c r="W83">
        <f>HYPERLINK("https://klasma.github.io/Logging_0581/klagomålsmail/A 34176-2019.docx", "A 34176-2019")</f>
        <v/>
      </c>
      <c r="X83">
        <f>HYPERLINK("https://klasma.github.io/Logging_0581/tillsyn/A 34176-2019.docx", "A 34176-2019")</f>
        <v/>
      </c>
      <c r="Y83">
        <f>HYPERLINK("https://klasma.github.io/Logging_0581/tillsynsmail/A 34176-2019.docx", "A 34176-2019")</f>
        <v/>
      </c>
    </row>
    <row r="84" ht="15" customHeight="1">
      <c r="A84" t="inlineStr">
        <is>
          <t>A 35697-2019</t>
        </is>
      </c>
      <c r="B84" s="1" t="n">
        <v>43656</v>
      </c>
      <c r="C84" s="1" t="n">
        <v>45211</v>
      </c>
      <c r="D84" t="inlineStr">
        <is>
          <t>ÖSTERGÖTLANDS LÄN</t>
        </is>
      </c>
      <c r="E84" t="inlineStr">
        <is>
          <t>LINKÖPING</t>
        </is>
      </c>
      <c r="G84" t="n">
        <v>1.3</v>
      </c>
      <c r="H84" t="n">
        <v>3</v>
      </c>
      <c r="I84" t="n">
        <v>0</v>
      </c>
      <c r="J84" t="n">
        <v>2</v>
      </c>
      <c r="K84" t="n">
        <v>0</v>
      </c>
      <c r="L84" t="n">
        <v>0</v>
      </c>
      <c r="M84" t="n">
        <v>0</v>
      </c>
      <c r="N84" t="n">
        <v>0</v>
      </c>
      <c r="O84" t="n">
        <v>2</v>
      </c>
      <c r="P84" t="n">
        <v>0</v>
      </c>
      <c r="Q84" t="n">
        <v>3</v>
      </c>
      <c r="R84" s="2" t="inlineStr">
        <is>
          <t>Buskskvätta
Gulsparv
Gullviva</t>
        </is>
      </c>
      <c r="S84">
        <f>HYPERLINK("https://klasma.github.io/Logging_0580/artfynd/A 35697-2019.xlsx", "A 35697-2019")</f>
        <v/>
      </c>
      <c r="T84">
        <f>HYPERLINK("https://klasma.github.io/Logging_0580/kartor/A 35697-2019.png", "A 35697-2019")</f>
        <v/>
      </c>
      <c r="V84">
        <f>HYPERLINK("https://klasma.github.io/Logging_0580/klagomål/A 35697-2019.docx", "A 35697-2019")</f>
        <v/>
      </c>
      <c r="W84">
        <f>HYPERLINK("https://klasma.github.io/Logging_0580/klagomålsmail/A 35697-2019.docx", "A 35697-2019")</f>
        <v/>
      </c>
      <c r="X84">
        <f>HYPERLINK("https://klasma.github.io/Logging_0580/tillsyn/A 35697-2019.docx", "A 35697-2019")</f>
        <v/>
      </c>
      <c r="Y84">
        <f>HYPERLINK("https://klasma.github.io/Logging_0580/tillsynsmail/A 35697-2019.docx", "A 35697-2019")</f>
        <v/>
      </c>
    </row>
    <row r="85" ht="15" customHeight="1">
      <c r="A85" t="inlineStr">
        <is>
          <t>A 43487-2019</t>
        </is>
      </c>
      <c r="B85" s="1" t="n">
        <v>43706</v>
      </c>
      <c r="C85" s="1" t="n">
        <v>45211</v>
      </c>
      <c r="D85" t="inlineStr">
        <is>
          <t>ÖSTERGÖTLANDS LÄN</t>
        </is>
      </c>
      <c r="E85" t="inlineStr">
        <is>
          <t>LINKÖPING</t>
        </is>
      </c>
      <c r="G85" t="n">
        <v>5.2</v>
      </c>
      <c r="H85" t="n">
        <v>0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3</v>
      </c>
      <c r="R85" s="2" t="inlineStr">
        <is>
          <t>Ullticka
Bronshjon
Skuggblåslav</t>
        </is>
      </c>
      <c r="S85">
        <f>HYPERLINK("https://klasma.github.io/Logging_0580/artfynd/A 43487-2019.xlsx", "A 43487-2019")</f>
        <v/>
      </c>
      <c r="T85">
        <f>HYPERLINK("https://klasma.github.io/Logging_0580/kartor/A 43487-2019.png", "A 43487-2019")</f>
        <v/>
      </c>
      <c r="V85">
        <f>HYPERLINK("https://klasma.github.io/Logging_0580/klagomål/A 43487-2019.docx", "A 43487-2019")</f>
        <v/>
      </c>
      <c r="W85">
        <f>HYPERLINK("https://klasma.github.io/Logging_0580/klagomålsmail/A 43487-2019.docx", "A 43487-2019")</f>
        <v/>
      </c>
      <c r="X85">
        <f>HYPERLINK("https://klasma.github.io/Logging_0580/tillsyn/A 43487-2019.docx", "A 43487-2019")</f>
        <v/>
      </c>
      <c r="Y85">
        <f>HYPERLINK("https://klasma.github.io/Logging_0580/tillsynsmail/A 43487-2019.docx", "A 43487-2019")</f>
        <v/>
      </c>
    </row>
    <row r="86" ht="15" customHeight="1">
      <c r="A86" t="inlineStr">
        <is>
          <t>A 50566-2019</t>
        </is>
      </c>
      <c r="B86" s="1" t="n">
        <v>43735</v>
      </c>
      <c r="C86" s="1" t="n">
        <v>45211</v>
      </c>
      <c r="D86" t="inlineStr">
        <is>
          <t>ÖSTERGÖTLANDS LÄN</t>
        </is>
      </c>
      <c r="E86" t="inlineStr">
        <is>
          <t>MOTALA</t>
        </is>
      </c>
      <c r="G86" t="n">
        <v>13.2</v>
      </c>
      <c r="H86" t="n">
        <v>0</v>
      </c>
      <c r="I86" t="n">
        <v>2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1</v>
      </c>
      <c r="P86" t="n">
        <v>1</v>
      </c>
      <c r="Q86" t="n">
        <v>3</v>
      </c>
      <c r="R86" s="2" t="inlineStr">
        <is>
          <t>Skogsalm
Underviol
Vårärt</t>
        </is>
      </c>
      <c r="S86">
        <f>HYPERLINK("https://klasma.github.io/Logging_0583/artfynd/A 50566-2019.xlsx", "A 50566-2019")</f>
        <v/>
      </c>
      <c r="T86">
        <f>HYPERLINK("https://klasma.github.io/Logging_0583/kartor/A 50566-2019.png", "A 50566-2019")</f>
        <v/>
      </c>
      <c r="V86">
        <f>HYPERLINK("https://klasma.github.io/Logging_0583/klagomål/A 50566-2019.docx", "A 50566-2019")</f>
        <v/>
      </c>
      <c r="W86">
        <f>HYPERLINK("https://klasma.github.io/Logging_0583/klagomålsmail/A 50566-2019.docx", "A 50566-2019")</f>
        <v/>
      </c>
      <c r="X86">
        <f>HYPERLINK("https://klasma.github.io/Logging_0583/tillsyn/A 50566-2019.docx", "A 50566-2019")</f>
        <v/>
      </c>
      <c r="Y86">
        <f>HYPERLINK("https://klasma.github.io/Logging_0583/tillsynsmail/A 50566-2019.docx", "A 50566-2019")</f>
        <v/>
      </c>
    </row>
    <row r="87" ht="15" customHeight="1">
      <c r="A87" t="inlineStr">
        <is>
          <t>A 3682-2020</t>
        </is>
      </c>
      <c r="B87" s="1" t="n">
        <v>43853</v>
      </c>
      <c r="C87" s="1" t="n">
        <v>45211</v>
      </c>
      <c r="D87" t="inlineStr">
        <is>
          <t>ÖSTERGÖTLANDS LÄN</t>
        </is>
      </c>
      <c r="E87" t="inlineStr">
        <is>
          <t>FINSPÅNG</t>
        </is>
      </c>
      <c r="F87" t="inlineStr">
        <is>
          <t>Övriga Aktiebolag</t>
        </is>
      </c>
      <c r="G87" t="n">
        <v>13.4</v>
      </c>
      <c r="H87" t="n">
        <v>1</v>
      </c>
      <c r="I87" t="n">
        <v>0</v>
      </c>
      <c r="J87" t="n">
        <v>2</v>
      </c>
      <c r="K87" t="n">
        <v>0</v>
      </c>
      <c r="L87" t="n">
        <v>0</v>
      </c>
      <c r="M87" t="n">
        <v>0</v>
      </c>
      <c r="N87" t="n">
        <v>0</v>
      </c>
      <c r="O87" t="n">
        <v>2</v>
      </c>
      <c r="P87" t="n">
        <v>0</v>
      </c>
      <c r="Q87" t="n">
        <v>3</v>
      </c>
      <c r="R87" s="2" t="inlineStr">
        <is>
          <t>Tallticka
Vedskivlav
Huggorm</t>
        </is>
      </c>
      <c r="S87">
        <f>HYPERLINK("https://klasma.github.io/Logging_0562/artfynd/A 3682-2020.xlsx", "A 3682-2020")</f>
        <v/>
      </c>
      <c r="T87">
        <f>HYPERLINK("https://klasma.github.io/Logging_0562/kartor/A 3682-2020.png", "A 3682-2020")</f>
        <v/>
      </c>
      <c r="V87">
        <f>HYPERLINK("https://klasma.github.io/Logging_0562/klagomål/A 3682-2020.docx", "A 3682-2020")</f>
        <v/>
      </c>
      <c r="W87">
        <f>HYPERLINK("https://klasma.github.io/Logging_0562/klagomålsmail/A 3682-2020.docx", "A 3682-2020")</f>
        <v/>
      </c>
      <c r="X87">
        <f>HYPERLINK("https://klasma.github.io/Logging_0562/tillsyn/A 3682-2020.docx", "A 3682-2020")</f>
        <v/>
      </c>
      <c r="Y87">
        <f>HYPERLINK("https://klasma.github.io/Logging_0562/tillsynsmail/A 3682-2020.docx", "A 3682-2020")</f>
        <v/>
      </c>
    </row>
    <row r="88" ht="15" customHeight="1">
      <c r="A88" t="inlineStr">
        <is>
          <t>A 5212-2020</t>
        </is>
      </c>
      <c r="B88" s="1" t="n">
        <v>43860</v>
      </c>
      <c r="C88" s="1" t="n">
        <v>45211</v>
      </c>
      <c r="D88" t="inlineStr">
        <is>
          <t>ÖSTERGÖTLANDS LÄN</t>
        </is>
      </c>
      <c r="E88" t="inlineStr">
        <is>
          <t>VALDEMARSVIK</t>
        </is>
      </c>
      <c r="G88" t="n">
        <v>1.7</v>
      </c>
      <c r="H88" t="n">
        <v>0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3</v>
      </c>
      <c r="R88" s="2" t="inlineStr">
        <is>
          <t>Dvärgbägarlav
Blomkålssvamp
Mindre märgborre</t>
        </is>
      </c>
      <c r="S88">
        <f>HYPERLINK("https://klasma.github.io/Logging_0563/artfynd/A 5212-2020.xlsx", "A 5212-2020")</f>
        <v/>
      </c>
      <c r="T88">
        <f>HYPERLINK("https://klasma.github.io/Logging_0563/kartor/A 5212-2020.png", "A 5212-2020")</f>
        <v/>
      </c>
      <c r="V88">
        <f>HYPERLINK("https://klasma.github.io/Logging_0563/klagomål/A 5212-2020.docx", "A 5212-2020")</f>
        <v/>
      </c>
      <c r="W88">
        <f>HYPERLINK("https://klasma.github.io/Logging_0563/klagomålsmail/A 5212-2020.docx", "A 5212-2020")</f>
        <v/>
      </c>
      <c r="X88">
        <f>HYPERLINK("https://klasma.github.io/Logging_0563/tillsyn/A 5212-2020.docx", "A 5212-2020")</f>
        <v/>
      </c>
      <c r="Y88">
        <f>HYPERLINK("https://klasma.github.io/Logging_0563/tillsynsmail/A 5212-2020.docx", "A 5212-2020")</f>
        <v/>
      </c>
    </row>
    <row r="89" ht="15" customHeight="1">
      <c r="A89" t="inlineStr">
        <is>
          <t>A 31109-2020</t>
        </is>
      </c>
      <c r="B89" s="1" t="n">
        <v>44012</v>
      </c>
      <c r="C89" s="1" t="n">
        <v>45211</v>
      </c>
      <c r="D89" t="inlineStr">
        <is>
          <t>ÖSTERGÖTLANDS LÄN</t>
        </is>
      </c>
      <c r="E89" t="inlineStr">
        <is>
          <t>ÅTVIDABERG</t>
        </is>
      </c>
      <c r="F89" t="inlineStr">
        <is>
          <t>Kommuner</t>
        </is>
      </c>
      <c r="G89" t="n">
        <v>4.3</v>
      </c>
      <c r="H89" t="n">
        <v>2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3</v>
      </c>
      <c r="R89" s="2" t="inlineStr">
        <is>
          <t>Tallticka
Vanlig snok
Revlummer</t>
        </is>
      </c>
      <c r="S89">
        <f>HYPERLINK("https://klasma.github.io/Logging_0561/artfynd/A 31109-2020.xlsx", "A 31109-2020")</f>
        <v/>
      </c>
      <c r="T89">
        <f>HYPERLINK("https://klasma.github.io/Logging_0561/kartor/A 31109-2020.png", "A 31109-2020")</f>
        <v/>
      </c>
      <c r="V89">
        <f>HYPERLINK("https://klasma.github.io/Logging_0561/klagomål/A 31109-2020.docx", "A 31109-2020")</f>
        <v/>
      </c>
      <c r="W89">
        <f>HYPERLINK("https://klasma.github.io/Logging_0561/klagomålsmail/A 31109-2020.docx", "A 31109-2020")</f>
        <v/>
      </c>
      <c r="X89">
        <f>HYPERLINK("https://klasma.github.io/Logging_0561/tillsyn/A 31109-2020.docx", "A 31109-2020")</f>
        <v/>
      </c>
      <c r="Y89">
        <f>HYPERLINK("https://klasma.github.io/Logging_0561/tillsynsmail/A 31109-2020.docx", "A 31109-2020")</f>
        <v/>
      </c>
    </row>
    <row r="90" ht="15" customHeight="1">
      <c r="A90" t="inlineStr">
        <is>
          <t>A 44668-2020</t>
        </is>
      </c>
      <c r="B90" s="1" t="n">
        <v>44085</v>
      </c>
      <c r="C90" s="1" t="n">
        <v>45211</v>
      </c>
      <c r="D90" t="inlineStr">
        <is>
          <t>ÖSTERGÖTLANDS LÄN</t>
        </is>
      </c>
      <c r="E90" t="inlineStr">
        <is>
          <t>LINKÖPING</t>
        </is>
      </c>
      <c r="G90" t="n">
        <v>15.2</v>
      </c>
      <c r="H90" t="n">
        <v>0</v>
      </c>
      <c r="I90" t="n">
        <v>0</v>
      </c>
      <c r="J90" t="n">
        <v>2</v>
      </c>
      <c r="K90" t="n">
        <v>0</v>
      </c>
      <c r="L90" t="n">
        <v>0</v>
      </c>
      <c r="M90" t="n">
        <v>1</v>
      </c>
      <c r="N90" t="n">
        <v>0</v>
      </c>
      <c r="O90" t="n">
        <v>3</v>
      </c>
      <c r="P90" t="n">
        <v>1</v>
      </c>
      <c r="Q90" t="n">
        <v>3</v>
      </c>
      <c r="R90" s="2" t="inlineStr">
        <is>
          <t>Skogsalm
Riddarsporre
Sommarfibbla</t>
        </is>
      </c>
      <c r="S90">
        <f>HYPERLINK("https://klasma.github.io/Logging_0580/artfynd/A 44668-2020.xlsx", "A 44668-2020")</f>
        <v/>
      </c>
      <c r="T90">
        <f>HYPERLINK("https://klasma.github.io/Logging_0580/kartor/A 44668-2020.png", "A 44668-2020")</f>
        <v/>
      </c>
      <c r="V90">
        <f>HYPERLINK("https://klasma.github.io/Logging_0580/klagomål/A 44668-2020.docx", "A 44668-2020")</f>
        <v/>
      </c>
      <c r="W90">
        <f>HYPERLINK("https://klasma.github.io/Logging_0580/klagomålsmail/A 44668-2020.docx", "A 44668-2020")</f>
        <v/>
      </c>
      <c r="X90">
        <f>HYPERLINK("https://klasma.github.io/Logging_0580/tillsyn/A 44668-2020.docx", "A 44668-2020")</f>
        <v/>
      </c>
      <c r="Y90">
        <f>HYPERLINK("https://klasma.github.io/Logging_0580/tillsynsmail/A 44668-2020.docx", "A 44668-2020")</f>
        <v/>
      </c>
    </row>
    <row r="91" ht="15" customHeight="1">
      <c r="A91" t="inlineStr">
        <is>
          <t>A 48663-2020</t>
        </is>
      </c>
      <c r="B91" s="1" t="n">
        <v>44103</v>
      </c>
      <c r="C91" s="1" t="n">
        <v>45211</v>
      </c>
      <c r="D91" t="inlineStr">
        <is>
          <t>ÖSTERGÖTLANDS LÄN</t>
        </is>
      </c>
      <c r="E91" t="inlineStr">
        <is>
          <t>FINSPÅNG</t>
        </is>
      </c>
      <c r="G91" t="n">
        <v>13.6</v>
      </c>
      <c r="H91" t="n">
        <v>3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3</v>
      </c>
      <c r="R91" s="2" t="inlineStr">
        <is>
          <t>Entita
Kopparödla
Revlummer</t>
        </is>
      </c>
      <c r="S91">
        <f>HYPERLINK("https://klasma.github.io/Logging_0562/artfynd/A 48663-2020.xlsx", "A 48663-2020")</f>
        <v/>
      </c>
      <c r="T91">
        <f>HYPERLINK("https://klasma.github.io/Logging_0562/kartor/A 48663-2020.png", "A 48663-2020")</f>
        <v/>
      </c>
      <c r="V91">
        <f>HYPERLINK("https://klasma.github.io/Logging_0562/klagomål/A 48663-2020.docx", "A 48663-2020")</f>
        <v/>
      </c>
      <c r="W91">
        <f>HYPERLINK("https://klasma.github.io/Logging_0562/klagomålsmail/A 48663-2020.docx", "A 48663-2020")</f>
        <v/>
      </c>
      <c r="X91">
        <f>HYPERLINK("https://klasma.github.io/Logging_0562/tillsyn/A 48663-2020.docx", "A 48663-2020")</f>
        <v/>
      </c>
      <c r="Y91">
        <f>HYPERLINK("https://klasma.github.io/Logging_0562/tillsynsmail/A 48663-2020.docx", "A 48663-2020")</f>
        <v/>
      </c>
    </row>
    <row r="92" ht="15" customHeight="1">
      <c r="A92" t="inlineStr">
        <is>
          <t>A 55863-2020</t>
        </is>
      </c>
      <c r="B92" s="1" t="n">
        <v>44132</v>
      </c>
      <c r="C92" s="1" t="n">
        <v>45211</v>
      </c>
      <c r="D92" t="inlineStr">
        <is>
          <t>ÖSTERGÖTLANDS LÄN</t>
        </is>
      </c>
      <c r="E92" t="inlineStr">
        <is>
          <t>FINSPÅNG</t>
        </is>
      </c>
      <c r="F92" t="inlineStr">
        <is>
          <t>Sveaskog</t>
        </is>
      </c>
      <c r="G92" t="n">
        <v>0.5</v>
      </c>
      <c r="H92" t="n">
        <v>0</v>
      </c>
      <c r="I92" t="n">
        <v>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3</v>
      </c>
      <c r="R92" s="2" t="inlineStr">
        <is>
          <t>Flagellkvastmossa
Tibast
Vårärt</t>
        </is>
      </c>
      <c r="S92">
        <f>HYPERLINK("https://klasma.github.io/Logging_0562/artfynd/A 55863-2020.xlsx", "A 55863-2020")</f>
        <v/>
      </c>
      <c r="T92">
        <f>HYPERLINK("https://klasma.github.io/Logging_0562/kartor/A 55863-2020.png", "A 55863-2020")</f>
        <v/>
      </c>
      <c r="V92">
        <f>HYPERLINK("https://klasma.github.io/Logging_0562/klagomål/A 55863-2020.docx", "A 55863-2020")</f>
        <v/>
      </c>
      <c r="W92">
        <f>HYPERLINK("https://klasma.github.io/Logging_0562/klagomålsmail/A 55863-2020.docx", "A 55863-2020")</f>
        <v/>
      </c>
      <c r="X92">
        <f>HYPERLINK("https://klasma.github.io/Logging_0562/tillsyn/A 55863-2020.docx", "A 55863-2020")</f>
        <v/>
      </c>
      <c r="Y92">
        <f>HYPERLINK("https://klasma.github.io/Logging_0562/tillsynsmail/A 55863-2020.docx", "A 55863-2020")</f>
        <v/>
      </c>
    </row>
    <row r="93" ht="15" customHeight="1">
      <c r="A93" t="inlineStr">
        <is>
          <t>A 8654-2021</t>
        </is>
      </c>
      <c r="B93" s="1" t="n">
        <v>44246</v>
      </c>
      <c r="C93" s="1" t="n">
        <v>45211</v>
      </c>
      <c r="D93" t="inlineStr">
        <is>
          <t>ÖSTERGÖTLANDS LÄN</t>
        </is>
      </c>
      <c r="E93" t="inlineStr">
        <is>
          <t>SÖDERKÖPING</t>
        </is>
      </c>
      <c r="G93" t="n">
        <v>1.5</v>
      </c>
      <c r="H93" t="n">
        <v>0</v>
      </c>
      <c r="I93" t="n">
        <v>1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2</v>
      </c>
      <c r="P93" t="n">
        <v>1</v>
      </c>
      <c r="Q93" t="n">
        <v>3</v>
      </c>
      <c r="R93" s="2" t="inlineStr">
        <is>
          <t>Gulvit blekspik
Ullticka
Granbarkgnagare</t>
        </is>
      </c>
      <c r="S93">
        <f>HYPERLINK("https://klasma.github.io/Logging_0582/artfynd/A 8654-2021.xlsx", "A 8654-2021")</f>
        <v/>
      </c>
      <c r="T93">
        <f>HYPERLINK("https://klasma.github.io/Logging_0582/kartor/A 8654-2021.png", "A 8654-2021")</f>
        <v/>
      </c>
      <c r="V93">
        <f>HYPERLINK("https://klasma.github.io/Logging_0582/klagomål/A 8654-2021.docx", "A 8654-2021")</f>
        <v/>
      </c>
      <c r="W93">
        <f>HYPERLINK("https://klasma.github.io/Logging_0582/klagomålsmail/A 8654-2021.docx", "A 8654-2021")</f>
        <v/>
      </c>
      <c r="X93">
        <f>HYPERLINK("https://klasma.github.io/Logging_0582/tillsyn/A 8654-2021.docx", "A 8654-2021")</f>
        <v/>
      </c>
      <c r="Y93">
        <f>HYPERLINK("https://klasma.github.io/Logging_0582/tillsynsmail/A 8654-2021.docx", "A 8654-2021")</f>
        <v/>
      </c>
    </row>
    <row r="94" ht="15" customHeight="1">
      <c r="A94" t="inlineStr">
        <is>
          <t>A 10275-2021</t>
        </is>
      </c>
      <c r="B94" s="1" t="n">
        <v>44256</v>
      </c>
      <c r="C94" s="1" t="n">
        <v>45211</v>
      </c>
      <c r="D94" t="inlineStr">
        <is>
          <t>ÖSTERGÖTLANDS LÄN</t>
        </is>
      </c>
      <c r="E94" t="inlineStr">
        <is>
          <t>ÅTVIDABERG</t>
        </is>
      </c>
      <c r="F94" t="inlineStr">
        <is>
          <t>Sveaskog</t>
        </is>
      </c>
      <c r="G94" t="n">
        <v>1.9</v>
      </c>
      <c r="H94" t="n">
        <v>0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3</v>
      </c>
      <c r="R94" s="2" t="inlineStr">
        <is>
          <t>Tallticka
Stenporella
Trubbfjädermossa</t>
        </is>
      </c>
      <c r="S94">
        <f>HYPERLINK("https://klasma.github.io/Logging_0561/artfynd/A 10275-2021.xlsx", "A 10275-2021")</f>
        <v/>
      </c>
      <c r="T94">
        <f>HYPERLINK("https://klasma.github.io/Logging_0561/kartor/A 10275-2021.png", "A 10275-2021")</f>
        <v/>
      </c>
      <c r="V94">
        <f>HYPERLINK("https://klasma.github.io/Logging_0561/klagomål/A 10275-2021.docx", "A 10275-2021")</f>
        <v/>
      </c>
      <c r="W94">
        <f>HYPERLINK("https://klasma.github.io/Logging_0561/klagomålsmail/A 10275-2021.docx", "A 10275-2021")</f>
        <v/>
      </c>
      <c r="X94">
        <f>HYPERLINK("https://klasma.github.io/Logging_0561/tillsyn/A 10275-2021.docx", "A 10275-2021")</f>
        <v/>
      </c>
      <c r="Y94">
        <f>HYPERLINK("https://klasma.github.io/Logging_0561/tillsynsmail/A 10275-2021.docx", "A 10275-2021")</f>
        <v/>
      </c>
    </row>
    <row r="95" ht="15" customHeight="1">
      <c r="A95" t="inlineStr">
        <is>
          <t>A 12419-2021</t>
        </is>
      </c>
      <c r="B95" s="1" t="n">
        <v>44267</v>
      </c>
      <c r="C95" s="1" t="n">
        <v>45211</v>
      </c>
      <c r="D95" t="inlineStr">
        <is>
          <t>ÖSTERGÖTLANDS LÄN</t>
        </is>
      </c>
      <c r="E95" t="inlineStr">
        <is>
          <t>NORRKÖPING</t>
        </is>
      </c>
      <c r="F95" t="inlineStr">
        <is>
          <t>Holmen skog AB</t>
        </is>
      </c>
      <c r="G95" t="n">
        <v>5.8</v>
      </c>
      <c r="H95" t="n">
        <v>2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  <c r="P95" t="n">
        <v>1</v>
      </c>
      <c r="Q95" t="n">
        <v>3</v>
      </c>
      <c r="R95" s="2" t="inlineStr">
        <is>
          <t>Hållav
Plattlummer
Lopplummer</t>
        </is>
      </c>
      <c r="S95">
        <f>HYPERLINK("https://klasma.github.io/Logging_0581/artfynd/A 12419-2021.xlsx", "A 12419-2021")</f>
        <v/>
      </c>
      <c r="T95">
        <f>HYPERLINK("https://klasma.github.io/Logging_0581/kartor/A 12419-2021.png", "A 12419-2021")</f>
        <v/>
      </c>
      <c r="V95">
        <f>HYPERLINK("https://klasma.github.io/Logging_0581/klagomål/A 12419-2021.docx", "A 12419-2021")</f>
        <v/>
      </c>
      <c r="W95">
        <f>HYPERLINK("https://klasma.github.io/Logging_0581/klagomålsmail/A 12419-2021.docx", "A 12419-2021")</f>
        <v/>
      </c>
      <c r="X95">
        <f>HYPERLINK("https://klasma.github.io/Logging_0581/tillsyn/A 12419-2021.docx", "A 12419-2021")</f>
        <v/>
      </c>
      <c r="Y95">
        <f>HYPERLINK("https://klasma.github.io/Logging_0581/tillsynsmail/A 12419-2021.docx", "A 12419-2021")</f>
        <v/>
      </c>
    </row>
    <row r="96" ht="15" customHeight="1">
      <c r="A96" t="inlineStr">
        <is>
          <t>A 67603-2021</t>
        </is>
      </c>
      <c r="B96" s="1" t="n">
        <v>44524</v>
      </c>
      <c r="C96" s="1" t="n">
        <v>45211</v>
      </c>
      <c r="D96" t="inlineStr">
        <is>
          <t>ÖSTERGÖTLANDS LÄN</t>
        </is>
      </c>
      <c r="E96" t="inlineStr">
        <is>
          <t>MJÖLBY</t>
        </is>
      </c>
      <c r="G96" t="n">
        <v>5.1</v>
      </c>
      <c r="H96" t="n">
        <v>1</v>
      </c>
      <c r="I96" t="n">
        <v>2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1</v>
      </c>
      <c r="Q96" t="n">
        <v>3</v>
      </c>
      <c r="R96" s="2" t="inlineStr">
        <is>
          <t>Backsippa
Plattad jordtunga
Svart jordtunga</t>
        </is>
      </c>
      <c r="S96">
        <f>HYPERLINK("https://klasma.github.io/Logging_0586/artfynd/A 67603-2021.xlsx", "A 67603-2021")</f>
        <v/>
      </c>
      <c r="T96">
        <f>HYPERLINK("https://klasma.github.io/Logging_0586/kartor/A 67603-2021.png", "A 67603-2021")</f>
        <v/>
      </c>
      <c r="V96">
        <f>HYPERLINK("https://klasma.github.io/Logging_0586/klagomål/A 67603-2021.docx", "A 67603-2021")</f>
        <v/>
      </c>
      <c r="W96">
        <f>HYPERLINK("https://klasma.github.io/Logging_0586/klagomålsmail/A 67603-2021.docx", "A 67603-2021")</f>
        <v/>
      </c>
      <c r="X96">
        <f>HYPERLINK("https://klasma.github.io/Logging_0586/tillsyn/A 67603-2021.docx", "A 67603-2021")</f>
        <v/>
      </c>
      <c r="Y96">
        <f>HYPERLINK("https://klasma.github.io/Logging_0586/tillsynsmail/A 67603-2021.docx", "A 67603-2021")</f>
        <v/>
      </c>
    </row>
    <row r="97" ht="15" customHeight="1">
      <c r="A97" t="inlineStr">
        <is>
          <t>A 1075-2022</t>
        </is>
      </c>
      <c r="B97" s="1" t="n">
        <v>44571</v>
      </c>
      <c r="C97" s="1" t="n">
        <v>45211</v>
      </c>
      <c r="D97" t="inlineStr">
        <is>
          <t>ÖSTERGÖTLANDS LÄN</t>
        </is>
      </c>
      <c r="E97" t="inlineStr">
        <is>
          <t>VALDEMARSVIK</t>
        </is>
      </c>
      <c r="G97" t="n">
        <v>2.3</v>
      </c>
      <c r="H97" t="n">
        <v>1</v>
      </c>
      <c r="I97" t="n">
        <v>1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2</v>
      </c>
      <c r="P97" t="n">
        <v>1</v>
      </c>
      <c r="Q97" t="n">
        <v>3</v>
      </c>
      <c r="R97" s="2" t="inlineStr">
        <is>
          <t>Knärot
Tallticka
Grönpyrola</t>
        </is>
      </c>
      <c r="S97">
        <f>HYPERLINK("https://klasma.github.io/Logging_0563/artfynd/A 1075-2022.xlsx", "A 1075-2022")</f>
        <v/>
      </c>
      <c r="T97">
        <f>HYPERLINK("https://klasma.github.io/Logging_0563/kartor/A 1075-2022.png", "A 1075-2022")</f>
        <v/>
      </c>
      <c r="U97">
        <f>HYPERLINK("https://klasma.github.io/Logging_0563/knärot/A 1075-2022.png", "A 1075-2022")</f>
        <v/>
      </c>
      <c r="V97">
        <f>HYPERLINK("https://klasma.github.io/Logging_0563/klagomål/A 1075-2022.docx", "A 1075-2022")</f>
        <v/>
      </c>
      <c r="W97">
        <f>HYPERLINK("https://klasma.github.io/Logging_0563/klagomålsmail/A 1075-2022.docx", "A 1075-2022")</f>
        <v/>
      </c>
      <c r="X97">
        <f>HYPERLINK("https://klasma.github.io/Logging_0563/tillsyn/A 1075-2022.docx", "A 1075-2022")</f>
        <v/>
      </c>
      <c r="Y97">
        <f>HYPERLINK("https://klasma.github.io/Logging_0563/tillsynsmail/A 1075-2022.docx", "A 1075-2022")</f>
        <v/>
      </c>
    </row>
    <row r="98" ht="15" customHeight="1">
      <c r="A98" t="inlineStr">
        <is>
          <t>A 1541-2022</t>
        </is>
      </c>
      <c r="B98" s="1" t="n">
        <v>44573</v>
      </c>
      <c r="C98" s="1" t="n">
        <v>45211</v>
      </c>
      <c r="D98" t="inlineStr">
        <is>
          <t>ÖSTERGÖTLANDS LÄN</t>
        </is>
      </c>
      <c r="E98" t="inlineStr">
        <is>
          <t>FINSPÅNG</t>
        </is>
      </c>
      <c r="F98" t="inlineStr">
        <is>
          <t>Övriga Aktiebolag</t>
        </is>
      </c>
      <c r="G98" t="n">
        <v>12.8</v>
      </c>
      <c r="H98" t="n">
        <v>2</v>
      </c>
      <c r="I98" t="n">
        <v>1</v>
      </c>
      <c r="J98" t="n">
        <v>2</v>
      </c>
      <c r="K98" t="n">
        <v>0</v>
      </c>
      <c r="L98" t="n">
        <v>0</v>
      </c>
      <c r="M98" t="n">
        <v>0</v>
      </c>
      <c r="N98" t="n">
        <v>0</v>
      </c>
      <c r="O98" t="n">
        <v>2</v>
      </c>
      <c r="P98" t="n">
        <v>0</v>
      </c>
      <c r="Q98" t="n">
        <v>3</v>
      </c>
      <c r="R98" s="2" t="inlineStr">
        <is>
          <t>Havsörn
Spillkråka
Blåmossa</t>
        </is>
      </c>
      <c r="S98">
        <f>HYPERLINK("https://klasma.github.io/Logging_0562/artfynd/A 1541-2022.xlsx", "A 1541-2022")</f>
        <v/>
      </c>
      <c r="T98">
        <f>HYPERLINK("https://klasma.github.io/Logging_0562/kartor/A 1541-2022.png", "A 1541-2022")</f>
        <v/>
      </c>
      <c r="V98">
        <f>HYPERLINK("https://klasma.github.io/Logging_0562/klagomål/A 1541-2022.docx", "A 1541-2022")</f>
        <v/>
      </c>
      <c r="W98">
        <f>HYPERLINK("https://klasma.github.io/Logging_0562/klagomålsmail/A 1541-2022.docx", "A 1541-2022")</f>
        <v/>
      </c>
      <c r="X98">
        <f>HYPERLINK("https://klasma.github.io/Logging_0562/tillsyn/A 1541-2022.docx", "A 1541-2022")</f>
        <v/>
      </c>
      <c r="Y98">
        <f>HYPERLINK("https://klasma.github.io/Logging_0562/tillsynsmail/A 1541-2022.docx", "A 1541-2022")</f>
        <v/>
      </c>
    </row>
    <row r="99" ht="15" customHeight="1">
      <c r="A99" t="inlineStr">
        <is>
          <t>A 17502-2022</t>
        </is>
      </c>
      <c r="B99" s="1" t="n">
        <v>44679</v>
      </c>
      <c r="C99" s="1" t="n">
        <v>45211</v>
      </c>
      <c r="D99" t="inlineStr">
        <is>
          <t>ÖSTERGÖTLANDS LÄN</t>
        </is>
      </c>
      <c r="E99" t="inlineStr">
        <is>
          <t>LINKÖPING</t>
        </is>
      </c>
      <c r="F99" t="inlineStr">
        <is>
          <t>Kommuner</t>
        </is>
      </c>
      <c r="G99" t="n">
        <v>4.5</v>
      </c>
      <c r="H99" t="n">
        <v>1</v>
      </c>
      <c r="I99" t="n">
        <v>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s="2" t="inlineStr">
        <is>
          <t>Fjällig taggsvamp s.str.
Strimspindling
Blåsippa</t>
        </is>
      </c>
      <c r="S99">
        <f>HYPERLINK("https://klasma.github.io/Logging_0580/artfynd/A 17502-2022.xlsx", "A 17502-2022")</f>
        <v/>
      </c>
      <c r="T99">
        <f>HYPERLINK("https://klasma.github.io/Logging_0580/kartor/A 17502-2022.png", "A 17502-2022")</f>
        <v/>
      </c>
      <c r="V99">
        <f>HYPERLINK("https://klasma.github.io/Logging_0580/klagomål/A 17502-2022.docx", "A 17502-2022")</f>
        <v/>
      </c>
      <c r="W99">
        <f>HYPERLINK("https://klasma.github.io/Logging_0580/klagomålsmail/A 17502-2022.docx", "A 17502-2022")</f>
        <v/>
      </c>
      <c r="X99">
        <f>HYPERLINK("https://klasma.github.io/Logging_0580/tillsyn/A 17502-2022.docx", "A 17502-2022")</f>
        <v/>
      </c>
      <c r="Y99">
        <f>HYPERLINK("https://klasma.github.io/Logging_0580/tillsynsmail/A 17502-2022.docx", "A 17502-2022")</f>
        <v/>
      </c>
    </row>
    <row r="100" ht="15" customHeight="1">
      <c r="A100" t="inlineStr">
        <is>
          <t>A 17518-2022</t>
        </is>
      </c>
      <c r="B100" s="1" t="n">
        <v>44679</v>
      </c>
      <c r="C100" s="1" t="n">
        <v>45211</v>
      </c>
      <c r="D100" t="inlineStr">
        <is>
          <t>ÖSTERGÖTLANDS LÄN</t>
        </is>
      </c>
      <c r="E100" t="inlineStr">
        <is>
          <t>LINKÖPING</t>
        </is>
      </c>
      <c r="F100" t="inlineStr">
        <is>
          <t>Kommuner</t>
        </is>
      </c>
      <c r="G100" t="n">
        <v>3</v>
      </c>
      <c r="H100" t="n">
        <v>1</v>
      </c>
      <c r="I100" t="n">
        <v>1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  <c r="P100" t="n">
        <v>1</v>
      </c>
      <c r="Q100" t="n">
        <v>3</v>
      </c>
      <c r="R100" s="2" t="inlineStr">
        <is>
          <t>Ask
Smal svampklubba
Blåsippa</t>
        </is>
      </c>
      <c r="S100">
        <f>HYPERLINK("https://klasma.github.io/Logging_0580/artfynd/A 17518-2022.xlsx", "A 17518-2022")</f>
        <v/>
      </c>
      <c r="T100">
        <f>HYPERLINK("https://klasma.github.io/Logging_0580/kartor/A 17518-2022.png", "A 17518-2022")</f>
        <v/>
      </c>
      <c r="V100">
        <f>HYPERLINK("https://klasma.github.io/Logging_0580/klagomål/A 17518-2022.docx", "A 17518-2022")</f>
        <v/>
      </c>
      <c r="W100">
        <f>HYPERLINK("https://klasma.github.io/Logging_0580/klagomålsmail/A 17518-2022.docx", "A 17518-2022")</f>
        <v/>
      </c>
      <c r="X100">
        <f>HYPERLINK("https://klasma.github.io/Logging_0580/tillsyn/A 17518-2022.docx", "A 17518-2022")</f>
        <v/>
      </c>
      <c r="Y100">
        <f>HYPERLINK("https://klasma.github.io/Logging_0580/tillsynsmail/A 17518-2022.docx", "A 17518-2022")</f>
        <v/>
      </c>
    </row>
    <row r="101" ht="15" customHeight="1">
      <c r="A101" t="inlineStr">
        <is>
          <t>A 22312-2022</t>
        </is>
      </c>
      <c r="B101" s="1" t="n">
        <v>44712</v>
      </c>
      <c r="C101" s="1" t="n">
        <v>45211</v>
      </c>
      <c r="D101" t="inlineStr">
        <is>
          <t>ÖSTERGÖTLANDS LÄN</t>
        </is>
      </c>
      <c r="E101" t="inlineStr">
        <is>
          <t>VALDEMARSVIK</t>
        </is>
      </c>
      <c r="G101" t="n">
        <v>0.6</v>
      </c>
      <c r="H101" t="n">
        <v>3</v>
      </c>
      <c r="I101" t="n">
        <v>0</v>
      </c>
      <c r="J101" t="n">
        <v>2</v>
      </c>
      <c r="K101" t="n">
        <v>0</v>
      </c>
      <c r="L101" t="n">
        <v>0</v>
      </c>
      <c r="M101" t="n">
        <v>0</v>
      </c>
      <c r="N101" t="n">
        <v>0</v>
      </c>
      <c r="O101" t="n">
        <v>2</v>
      </c>
      <c r="P101" t="n">
        <v>0</v>
      </c>
      <c r="Q101" t="n">
        <v>3</v>
      </c>
      <c r="R101" s="2" t="inlineStr">
        <is>
          <t>Brunlångöra
Nordfladdermus
Gråskimlig fladdermus</t>
        </is>
      </c>
      <c r="S101">
        <f>HYPERLINK("https://klasma.github.io/Logging_0563/artfynd/A 22312-2022.xlsx", "A 22312-2022")</f>
        <v/>
      </c>
      <c r="T101">
        <f>HYPERLINK("https://klasma.github.io/Logging_0563/kartor/A 22312-2022.png", "A 22312-2022")</f>
        <v/>
      </c>
      <c r="V101">
        <f>HYPERLINK("https://klasma.github.io/Logging_0563/klagomål/A 22312-2022.docx", "A 22312-2022")</f>
        <v/>
      </c>
      <c r="W101">
        <f>HYPERLINK("https://klasma.github.io/Logging_0563/klagomålsmail/A 22312-2022.docx", "A 22312-2022")</f>
        <v/>
      </c>
      <c r="X101">
        <f>HYPERLINK("https://klasma.github.io/Logging_0563/tillsyn/A 22312-2022.docx", "A 22312-2022")</f>
        <v/>
      </c>
      <c r="Y101">
        <f>HYPERLINK("https://klasma.github.io/Logging_0563/tillsynsmail/A 22312-2022.docx", "A 22312-2022")</f>
        <v/>
      </c>
    </row>
    <row r="102" ht="15" customHeight="1">
      <c r="A102" t="inlineStr">
        <is>
          <t>A 32571-2022</t>
        </is>
      </c>
      <c r="B102" s="1" t="n">
        <v>44783</v>
      </c>
      <c r="C102" s="1" t="n">
        <v>45211</v>
      </c>
      <c r="D102" t="inlineStr">
        <is>
          <t>ÖSTERGÖTLANDS LÄN</t>
        </is>
      </c>
      <c r="E102" t="inlineStr">
        <is>
          <t>LINKÖPING</t>
        </is>
      </c>
      <c r="G102" t="n">
        <v>3.8</v>
      </c>
      <c r="H102" t="n">
        <v>0</v>
      </c>
      <c r="I102" t="n">
        <v>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3</v>
      </c>
      <c r="R102" s="2" t="inlineStr">
        <is>
          <t>Granbarkgnagare
Skogsbräsma
Tibast</t>
        </is>
      </c>
      <c r="S102">
        <f>HYPERLINK("https://klasma.github.io/Logging_0580/artfynd/A 32571-2022.xlsx", "A 32571-2022")</f>
        <v/>
      </c>
      <c r="T102">
        <f>HYPERLINK("https://klasma.github.io/Logging_0580/kartor/A 32571-2022.png", "A 32571-2022")</f>
        <v/>
      </c>
      <c r="V102">
        <f>HYPERLINK("https://klasma.github.io/Logging_0580/klagomål/A 32571-2022.docx", "A 32571-2022")</f>
        <v/>
      </c>
      <c r="W102">
        <f>HYPERLINK("https://klasma.github.io/Logging_0580/klagomålsmail/A 32571-2022.docx", "A 32571-2022")</f>
        <v/>
      </c>
      <c r="X102">
        <f>HYPERLINK("https://klasma.github.io/Logging_0580/tillsyn/A 32571-2022.docx", "A 32571-2022")</f>
        <v/>
      </c>
      <c r="Y102">
        <f>HYPERLINK("https://klasma.github.io/Logging_0580/tillsynsmail/A 32571-2022.docx", "A 32571-2022")</f>
        <v/>
      </c>
    </row>
    <row r="103" ht="15" customHeight="1">
      <c r="A103" t="inlineStr">
        <is>
          <t>A 861-2023</t>
        </is>
      </c>
      <c r="B103" s="1" t="n">
        <v>44931</v>
      </c>
      <c r="C103" s="1" t="n">
        <v>45211</v>
      </c>
      <c r="D103" t="inlineStr">
        <is>
          <t>ÖSTERGÖTLANDS LÄN</t>
        </is>
      </c>
      <c r="E103" t="inlineStr">
        <is>
          <t>NORRKÖPING</t>
        </is>
      </c>
      <c r="F103" t="inlineStr">
        <is>
          <t>Kommuner</t>
        </is>
      </c>
      <c r="G103" t="n">
        <v>4.4</v>
      </c>
      <c r="H103" t="n">
        <v>3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3</v>
      </c>
      <c r="R103" s="2" t="inlineStr">
        <is>
          <t>Nordfladdermus
Dvärgpipistrell
Vattenfladdermus</t>
        </is>
      </c>
      <c r="S103">
        <f>HYPERLINK("https://klasma.github.io/Logging_0581/artfynd/A 861-2023.xlsx", "A 861-2023")</f>
        <v/>
      </c>
      <c r="T103">
        <f>HYPERLINK("https://klasma.github.io/Logging_0581/kartor/A 861-2023.png", "A 861-2023")</f>
        <v/>
      </c>
      <c r="V103">
        <f>HYPERLINK("https://klasma.github.io/Logging_0581/klagomål/A 861-2023.docx", "A 861-2023")</f>
        <v/>
      </c>
      <c r="W103">
        <f>HYPERLINK("https://klasma.github.io/Logging_0581/klagomålsmail/A 861-2023.docx", "A 861-2023")</f>
        <v/>
      </c>
      <c r="X103">
        <f>HYPERLINK("https://klasma.github.io/Logging_0581/tillsyn/A 861-2023.docx", "A 861-2023")</f>
        <v/>
      </c>
      <c r="Y103">
        <f>HYPERLINK("https://klasma.github.io/Logging_0581/tillsynsmail/A 861-2023.docx", "A 861-2023")</f>
        <v/>
      </c>
    </row>
    <row r="104" ht="15" customHeight="1">
      <c r="A104" t="inlineStr">
        <is>
          <t>A 5119-2023</t>
        </is>
      </c>
      <c r="B104" s="1" t="n">
        <v>44958</v>
      </c>
      <c r="C104" s="1" t="n">
        <v>45211</v>
      </c>
      <c r="D104" t="inlineStr">
        <is>
          <t>ÖSTERGÖTLANDS LÄN</t>
        </is>
      </c>
      <c r="E104" t="inlineStr">
        <is>
          <t>KINDA</t>
        </is>
      </c>
      <c r="F104" t="inlineStr">
        <is>
          <t>Allmännings- och besparingsskogar</t>
        </is>
      </c>
      <c r="G104" t="n">
        <v>7.9</v>
      </c>
      <c r="H104" t="n">
        <v>2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3</v>
      </c>
      <c r="R104" s="2" t="inlineStr">
        <is>
          <t>Svinrot
Blåsippa
Gullviva</t>
        </is>
      </c>
      <c r="S104">
        <f>HYPERLINK("https://klasma.github.io/Logging_0513/artfynd/A 5119-2023.xlsx", "A 5119-2023")</f>
        <v/>
      </c>
      <c r="T104">
        <f>HYPERLINK("https://klasma.github.io/Logging_0513/kartor/A 5119-2023.png", "A 5119-2023")</f>
        <v/>
      </c>
      <c r="V104">
        <f>HYPERLINK("https://klasma.github.io/Logging_0513/klagomål/A 5119-2023.docx", "A 5119-2023")</f>
        <v/>
      </c>
      <c r="W104">
        <f>HYPERLINK("https://klasma.github.io/Logging_0513/klagomålsmail/A 5119-2023.docx", "A 5119-2023")</f>
        <v/>
      </c>
      <c r="X104">
        <f>HYPERLINK("https://klasma.github.io/Logging_0513/tillsyn/A 5119-2023.docx", "A 5119-2023")</f>
        <v/>
      </c>
      <c r="Y104">
        <f>HYPERLINK("https://klasma.github.io/Logging_0513/tillsynsmail/A 5119-2023.docx", "A 5119-2023")</f>
        <v/>
      </c>
    </row>
    <row r="105" ht="15" customHeight="1">
      <c r="A105" t="inlineStr">
        <is>
          <t>A 8468-2023</t>
        </is>
      </c>
      <c r="B105" s="1" t="n">
        <v>44977</v>
      </c>
      <c r="C105" s="1" t="n">
        <v>45211</v>
      </c>
      <c r="D105" t="inlineStr">
        <is>
          <t>ÖSTERGÖTLANDS LÄN</t>
        </is>
      </c>
      <c r="E105" t="inlineStr">
        <is>
          <t>NORRKÖPING</t>
        </is>
      </c>
      <c r="G105" t="n">
        <v>6.7</v>
      </c>
      <c r="H105" t="n">
        <v>1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3</v>
      </c>
      <c r="R105" s="2" t="inlineStr">
        <is>
          <t>Tallticka
Bronshjon
Blåsippa</t>
        </is>
      </c>
      <c r="S105">
        <f>HYPERLINK("https://klasma.github.io/Logging_0581/artfynd/A 8468-2023.xlsx", "A 8468-2023")</f>
        <v/>
      </c>
      <c r="T105">
        <f>HYPERLINK("https://klasma.github.io/Logging_0581/kartor/A 8468-2023.png", "A 8468-2023")</f>
        <v/>
      </c>
      <c r="V105">
        <f>HYPERLINK("https://klasma.github.io/Logging_0581/klagomål/A 8468-2023.docx", "A 8468-2023")</f>
        <v/>
      </c>
      <c r="W105">
        <f>HYPERLINK("https://klasma.github.io/Logging_0581/klagomålsmail/A 8468-2023.docx", "A 8468-2023")</f>
        <v/>
      </c>
      <c r="X105">
        <f>HYPERLINK("https://klasma.github.io/Logging_0581/tillsyn/A 8468-2023.docx", "A 8468-2023")</f>
        <v/>
      </c>
      <c r="Y105">
        <f>HYPERLINK("https://klasma.github.io/Logging_0581/tillsynsmail/A 8468-2023.docx", "A 8468-2023")</f>
        <v/>
      </c>
    </row>
    <row r="106" ht="15" customHeight="1">
      <c r="A106" t="inlineStr">
        <is>
          <t>A 22259-2023</t>
        </is>
      </c>
      <c r="B106" s="1" t="n">
        <v>45070</v>
      </c>
      <c r="C106" s="1" t="n">
        <v>45211</v>
      </c>
      <c r="D106" t="inlineStr">
        <is>
          <t>ÖSTERGÖTLANDS LÄN</t>
        </is>
      </c>
      <c r="E106" t="inlineStr">
        <is>
          <t>YDRE</t>
        </is>
      </c>
      <c r="F106" t="inlineStr">
        <is>
          <t>Övriga Aktiebolag</t>
        </is>
      </c>
      <c r="G106" t="n">
        <v>2.8</v>
      </c>
      <c r="H106" t="n">
        <v>1</v>
      </c>
      <c r="I106" t="n">
        <v>0</v>
      </c>
      <c r="J106" t="n">
        <v>2</v>
      </c>
      <c r="K106" t="n">
        <v>0</v>
      </c>
      <c r="L106" t="n">
        <v>1</v>
      </c>
      <c r="M106" t="n">
        <v>0</v>
      </c>
      <c r="N106" t="n">
        <v>0</v>
      </c>
      <c r="O106" t="n">
        <v>3</v>
      </c>
      <c r="P106" t="n">
        <v>1</v>
      </c>
      <c r="Q106" t="n">
        <v>3</v>
      </c>
      <c r="R106" s="2" t="inlineStr">
        <is>
          <t>Trumpetfibbla
Nubbfibbla
Talltita</t>
        </is>
      </c>
      <c r="S106">
        <f>HYPERLINK("https://klasma.github.io/Logging_0512/artfynd/A 22259-2023.xlsx", "A 22259-2023")</f>
        <v/>
      </c>
      <c r="T106">
        <f>HYPERLINK("https://klasma.github.io/Logging_0512/kartor/A 22259-2023.png", "A 22259-2023")</f>
        <v/>
      </c>
      <c r="V106">
        <f>HYPERLINK("https://klasma.github.io/Logging_0512/klagomål/A 22259-2023.docx", "A 22259-2023")</f>
        <v/>
      </c>
      <c r="W106">
        <f>HYPERLINK("https://klasma.github.io/Logging_0512/klagomålsmail/A 22259-2023.docx", "A 22259-2023")</f>
        <v/>
      </c>
      <c r="X106">
        <f>HYPERLINK("https://klasma.github.io/Logging_0512/tillsyn/A 22259-2023.docx", "A 22259-2023")</f>
        <v/>
      </c>
      <c r="Y106">
        <f>HYPERLINK("https://klasma.github.io/Logging_0512/tillsynsmail/A 22259-2023.docx", "A 22259-2023")</f>
        <v/>
      </c>
    </row>
    <row r="107" ht="15" customHeight="1">
      <c r="A107" t="inlineStr">
        <is>
          <t>A 26385-2023</t>
        </is>
      </c>
      <c r="B107" s="1" t="n">
        <v>45086</v>
      </c>
      <c r="C107" s="1" t="n">
        <v>45211</v>
      </c>
      <c r="D107" t="inlineStr">
        <is>
          <t>ÖSTERGÖTLANDS LÄN</t>
        </is>
      </c>
      <c r="E107" t="inlineStr">
        <is>
          <t>NORRKÖPING</t>
        </is>
      </c>
      <c r="F107" t="inlineStr">
        <is>
          <t>Allmännings- och besparingsskogar</t>
        </is>
      </c>
      <c r="G107" t="n">
        <v>9</v>
      </c>
      <c r="H107" t="n">
        <v>1</v>
      </c>
      <c r="I107" t="n">
        <v>1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2</v>
      </c>
      <c r="P107" t="n">
        <v>1</v>
      </c>
      <c r="Q107" t="n">
        <v>3</v>
      </c>
      <c r="R107" s="2" t="inlineStr">
        <is>
          <t>Hasselsnok
Vedskivlav
Fällmossa</t>
        </is>
      </c>
      <c r="S107">
        <f>HYPERLINK("https://klasma.github.io/Logging_0581/artfynd/A 26385-2023.xlsx", "A 26385-2023")</f>
        <v/>
      </c>
      <c r="T107">
        <f>HYPERLINK("https://klasma.github.io/Logging_0581/kartor/A 26385-2023.png", "A 26385-2023")</f>
        <v/>
      </c>
      <c r="V107">
        <f>HYPERLINK("https://klasma.github.io/Logging_0581/klagomål/A 26385-2023.docx", "A 26385-2023")</f>
        <v/>
      </c>
      <c r="W107">
        <f>HYPERLINK("https://klasma.github.io/Logging_0581/klagomålsmail/A 26385-2023.docx", "A 26385-2023")</f>
        <v/>
      </c>
      <c r="X107">
        <f>HYPERLINK("https://klasma.github.io/Logging_0581/tillsyn/A 26385-2023.docx", "A 26385-2023")</f>
        <v/>
      </c>
      <c r="Y107">
        <f>HYPERLINK("https://klasma.github.io/Logging_0581/tillsynsmail/A 26385-2023.docx", "A 26385-2023")</f>
        <v/>
      </c>
    </row>
    <row r="108" ht="15" customHeight="1">
      <c r="A108" t="inlineStr">
        <is>
          <t>A 30472-2023</t>
        </is>
      </c>
      <c r="B108" s="1" t="n">
        <v>45111</v>
      </c>
      <c r="C108" s="1" t="n">
        <v>45211</v>
      </c>
      <c r="D108" t="inlineStr">
        <is>
          <t>ÖSTERGÖTLANDS LÄN</t>
        </is>
      </c>
      <c r="E108" t="inlineStr">
        <is>
          <t>ÅTVIDABERG</t>
        </is>
      </c>
      <c r="F108" t="inlineStr">
        <is>
          <t>Övriga Aktiebolag</t>
        </is>
      </c>
      <c r="G108" t="n">
        <v>12.2</v>
      </c>
      <c r="H108" t="n">
        <v>3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3</v>
      </c>
      <c r="R108" s="2" t="inlineStr">
        <is>
          <t>Utter
Åkergroda
Vanlig groda</t>
        </is>
      </c>
      <c r="S108">
        <f>HYPERLINK("https://klasma.github.io/Logging_0561/artfynd/A 30472-2023.xlsx", "A 30472-2023")</f>
        <v/>
      </c>
      <c r="T108">
        <f>HYPERLINK("https://klasma.github.io/Logging_0561/kartor/A 30472-2023.png", "A 30472-2023")</f>
        <v/>
      </c>
      <c r="V108">
        <f>HYPERLINK("https://klasma.github.io/Logging_0561/klagomål/A 30472-2023.docx", "A 30472-2023")</f>
        <v/>
      </c>
      <c r="W108">
        <f>HYPERLINK("https://klasma.github.io/Logging_0561/klagomålsmail/A 30472-2023.docx", "A 30472-2023")</f>
        <v/>
      </c>
      <c r="X108">
        <f>HYPERLINK("https://klasma.github.io/Logging_0561/tillsyn/A 30472-2023.docx", "A 30472-2023")</f>
        <v/>
      </c>
      <c r="Y108">
        <f>HYPERLINK("https://klasma.github.io/Logging_0561/tillsynsmail/A 30472-2023.docx", "A 30472-2023")</f>
        <v/>
      </c>
    </row>
    <row r="109" ht="15" customHeight="1">
      <c r="A109" t="inlineStr">
        <is>
          <t>A 46928-2023</t>
        </is>
      </c>
      <c r="B109" s="1" t="n">
        <v>45201</v>
      </c>
      <c r="C109" s="1" t="n">
        <v>45211</v>
      </c>
      <c r="D109" t="inlineStr">
        <is>
          <t>ÖSTERGÖTLANDS LÄN</t>
        </is>
      </c>
      <c r="E109" t="inlineStr">
        <is>
          <t>KINDA</t>
        </is>
      </c>
      <c r="G109" t="n">
        <v>1.3</v>
      </c>
      <c r="H109" t="n">
        <v>3</v>
      </c>
      <c r="I109" t="n">
        <v>0</v>
      </c>
      <c r="J109" t="n">
        <v>3</v>
      </c>
      <c r="K109" t="n">
        <v>0</v>
      </c>
      <c r="L109" t="n">
        <v>0</v>
      </c>
      <c r="M109" t="n">
        <v>0</v>
      </c>
      <c r="N109" t="n">
        <v>0</v>
      </c>
      <c r="O109" t="n">
        <v>3</v>
      </c>
      <c r="P109" t="n">
        <v>0</v>
      </c>
      <c r="Q109" t="n">
        <v>3</v>
      </c>
      <c r="R109" s="2" t="inlineStr">
        <is>
          <t>Mindre hackspett
Spillkråka
Talltita</t>
        </is>
      </c>
      <c r="S109">
        <f>HYPERLINK("https://klasma.github.io/Logging_0513/artfynd/A 46928-2023.xlsx", "A 46928-2023")</f>
        <v/>
      </c>
      <c r="T109">
        <f>HYPERLINK("https://klasma.github.io/Logging_0513/kartor/A 46928-2023.png", "A 46928-2023")</f>
        <v/>
      </c>
      <c r="V109">
        <f>HYPERLINK("https://klasma.github.io/Logging_0513/klagomål/A 46928-2023.docx", "A 46928-2023")</f>
        <v/>
      </c>
      <c r="W109">
        <f>HYPERLINK("https://klasma.github.io/Logging_0513/klagomålsmail/A 46928-2023.docx", "A 46928-2023")</f>
        <v/>
      </c>
      <c r="X109">
        <f>HYPERLINK("https://klasma.github.io/Logging_0513/tillsyn/A 46928-2023.docx", "A 46928-2023")</f>
        <v/>
      </c>
      <c r="Y109">
        <f>HYPERLINK("https://klasma.github.io/Logging_0513/tillsynsmail/A 46928-2023.docx", "A 46928-2023")</f>
        <v/>
      </c>
    </row>
    <row r="110" ht="15" customHeight="1">
      <c r="A110" t="inlineStr">
        <is>
          <t>A 47767-2023</t>
        </is>
      </c>
      <c r="B110" s="1" t="n">
        <v>45203</v>
      </c>
      <c r="C110" s="1" t="n">
        <v>45211</v>
      </c>
      <c r="D110" t="inlineStr">
        <is>
          <t>ÖSTERGÖTLANDS LÄN</t>
        </is>
      </c>
      <c r="E110" t="inlineStr">
        <is>
          <t>NORRKÖPING</t>
        </is>
      </c>
      <c r="G110" t="n">
        <v>3.8</v>
      </c>
      <c r="H110" t="n">
        <v>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3</v>
      </c>
      <c r="R110" s="2" t="inlineStr">
        <is>
          <t>Motaggsvamp
Blåmossa
Sotriska</t>
        </is>
      </c>
      <c r="S110">
        <f>HYPERLINK("https://klasma.github.io/Logging_0581/artfynd/A 47767-2023.xlsx", "A 47767-2023")</f>
        <v/>
      </c>
      <c r="T110">
        <f>HYPERLINK("https://klasma.github.io/Logging_0581/kartor/A 47767-2023.png", "A 47767-2023")</f>
        <v/>
      </c>
      <c r="V110">
        <f>HYPERLINK("https://klasma.github.io/Logging_0581/klagomål/A 47767-2023.docx", "A 47767-2023")</f>
        <v/>
      </c>
      <c r="W110">
        <f>HYPERLINK("https://klasma.github.io/Logging_0581/klagomålsmail/A 47767-2023.docx", "A 47767-2023")</f>
        <v/>
      </c>
      <c r="X110">
        <f>HYPERLINK("https://klasma.github.io/Logging_0581/tillsyn/A 47767-2023.docx", "A 47767-2023")</f>
        <v/>
      </c>
      <c r="Y110">
        <f>HYPERLINK("https://klasma.github.io/Logging_0581/tillsynsmail/A 47767-2023.docx", "A 47767-2023")</f>
        <v/>
      </c>
    </row>
    <row r="111" ht="15" customHeight="1">
      <c r="A111" t="inlineStr">
        <is>
          <t>A 34072-2018</t>
        </is>
      </c>
      <c r="B111" s="1" t="n">
        <v>43315</v>
      </c>
      <c r="C111" s="1" t="n">
        <v>45211</v>
      </c>
      <c r="D111" t="inlineStr">
        <is>
          <t>ÖSTERGÖTLANDS LÄN</t>
        </is>
      </c>
      <c r="E111" t="inlineStr">
        <is>
          <t>KINDA</t>
        </is>
      </c>
      <c r="G111" t="n">
        <v>6.2</v>
      </c>
      <c r="H111" t="n">
        <v>0</v>
      </c>
      <c r="I111" t="n">
        <v>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s="2" t="inlineStr">
        <is>
          <t>Dunmossa
Trådticka</t>
        </is>
      </c>
      <c r="S111">
        <f>HYPERLINK("https://klasma.github.io/Logging_0513/artfynd/A 34072-2018.xlsx", "A 34072-2018")</f>
        <v/>
      </c>
      <c r="T111">
        <f>HYPERLINK("https://klasma.github.io/Logging_0513/kartor/A 34072-2018.png", "A 34072-2018")</f>
        <v/>
      </c>
      <c r="V111">
        <f>HYPERLINK("https://klasma.github.io/Logging_0513/klagomål/A 34072-2018.docx", "A 34072-2018")</f>
        <v/>
      </c>
      <c r="W111">
        <f>HYPERLINK("https://klasma.github.io/Logging_0513/klagomålsmail/A 34072-2018.docx", "A 34072-2018")</f>
        <v/>
      </c>
      <c r="X111">
        <f>HYPERLINK("https://klasma.github.io/Logging_0513/tillsyn/A 34072-2018.docx", "A 34072-2018")</f>
        <v/>
      </c>
      <c r="Y111">
        <f>HYPERLINK("https://klasma.github.io/Logging_0513/tillsynsmail/A 34072-2018.docx", "A 34072-2018")</f>
        <v/>
      </c>
    </row>
    <row r="112" ht="15" customHeight="1">
      <c r="A112" t="inlineStr">
        <is>
          <t>A 48261-2018</t>
        </is>
      </c>
      <c r="B112" s="1" t="n">
        <v>43371</v>
      </c>
      <c r="C112" s="1" t="n">
        <v>45211</v>
      </c>
      <c r="D112" t="inlineStr">
        <is>
          <t>ÖSTERGÖTLANDS LÄN</t>
        </is>
      </c>
      <c r="E112" t="inlineStr">
        <is>
          <t>ÅTVIDABERG</t>
        </is>
      </c>
      <c r="F112" t="inlineStr">
        <is>
          <t>Sveaskog</t>
        </is>
      </c>
      <c r="G112" t="n">
        <v>2.6</v>
      </c>
      <c r="H112" t="n">
        <v>0</v>
      </c>
      <c r="I112" t="n">
        <v>0</v>
      </c>
      <c r="J112" t="n">
        <v>2</v>
      </c>
      <c r="K112" t="n">
        <v>0</v>
      </c>
      <c r="L112" t="n">
        <v>0</v>
      </c>
      <c r="M112" t="n">
        <v>0</v>
      </c>
      <c r="N112" t="n">
        <v>0</v>
      </c>
      <c r="O112" t="n">
        <v>2</v>
      </c>
      <c r="P112" t="n">
        <v>0</v>
      </c>
      <c r="Q112" t="n">
        <v>2</v>
      </c>
      <c r="R112" s="2" t="inlineStr">
        <is>
          <t>Dvärgbägarlav
Vedskivlav</t>
        </is>
      </c>
      <c r="S112">
        <f>HYPERLINK("https://klasma.github.io/Logging_0561/artfynd/A 48261-2018.xlsx", "A 48261-2018")</f>
        <v/>
      </c>
      <c r="T112">
        <f>HYPERLINK("https://klasma.github.io/Logging_0561/kartor/A 48261-2018.png", "A 48261-2018")</f>
        <v/>
      </c>
      <c r="V112">
        <f>HYPERLINK("https://klasma.github.io/Logging_0561/klagomål/A 48261-2018.docx", "A 48261-2018")</f>
        <v/>
      </c>
      <c r="W112">
        <f>HYPERLINK("https://klasma.github.io/Logging_0561/klagomålsmail/A 48261-2018.docx", "A 48261-2018")</f>
        <v/>
      </c>
      <c r="X112">
        <f>HYPERLINK("https://klasma.github.io/Logging_0561/tillsyn/A 48261-2018.docx", "A 48261-2018")</f>
        <v/>
      </c>
      <c r="Y112">
        <f>HYPERLINK("https://klasma.github.io/Logging_0561/tillsynsmail/A 48261-2018.docx", "A 48261-2018")</f>
        <v/>
      </c>
    </row>
    <row r="113" ht="15" customHeight="1">
      <c r="A113" t="inlineStr">
        <is>
          <t>A 49981-2018</t>
        </is>
      </c>
      <c r="B113" s="1" t="n">
        <v>43377</v>
      </c>
      <c r="C113" s="1" t="n">
        <v>45211</v>
      </c>
      <c r="D113" t="inlineStr">
        <is>
          <t>ÖSTERGÖTLANDS LÄN</t>
        </is>
      </c>
      <c r="E113" t="inlineStr">
        <is>
          <t>ÅTVIDABERG</t>
        </is>
      </c>
      <c r="G113" t="n">
        <v>2.7</v>
      </c>
      <c r="H113" t="n">
        <v>0</v>
      </c>
      <c r="I113" t="n">
        <v>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s="2" t="inlineStr">
        <is>
          <t>Bronshjon
Grönpyrola</t>
        </is>
      </c>
      <c r="S113">
        <f>HYPERLINK("https://klasma.github.io/Logging_0561/artfynd/A 49981-2018.xlsx", "A 49981-2018")</f>
        <v/>
      </c>
      <c r="T113">
        <f>HYPERLINK("https://klasma.github.io/Logging_0561/kartor/A 49981-2018.png", "A 49981-2018")</f>
        <v/>
      </c>
      <c r="V113">
        <f>HYPERLINK("https://klasma.github.io/Logging_0561/klagomål/A 49981-2018.docx", "A 49981-2018")</f>
        <v/>
      </c>
      <c r="W113">
        <f>HYPERLINK("https://klasma.github.io/Logging_0561/klagomålsmail/A 49981-2018.docx", "A 49981-2018")</f>
        <v/>
      </c>
      <c r="X113">
        <f>HYPERLINK("https://klasma.github.io/Logging_0561/tillsyn/A 49981-2018.docx", "A 49981-2018")</f>
        <v/>
      </c>
      <c r="Y113">
        <f>HYPERLINK("https://klasma.github.io/Logging_0561/tillsynsmail/A 49981-2018.docx", "A 49981-2018")</f>
        <v/>
      </c>
    </row>
    <row r="114" ht="15" customHeight="1">
      <c r="A114" t="inlineStr">
        <is>
          <t>A 54259-2018</t>
        </is>
      </c>
      <c r="B114" s="1" t="n">
        <v>43393</v>
      </c>
      <c r="C114" s="1" t="n">
        <v>45211</v>
      </c>
      <c r="D114" t="inlineStr">
        <is>
          <t>ÖSTERGÖTLANDS LÄN</t>
        </is>
      </c>
      <c r="E114" t="inlineStr">
        <is>
          <t>ÅTVIDABERG</t>
        </is>
      </c>
      <c r="F114" t="inlineStr">
        <is>
          <t>Sveaskog</t>
        </is>
      </c>
      <c r="G114" t="n">
        <v>2.6</v>
      </c>
      <c r="H114" t="n">
        <v>0</v>
      </c>
      <c r="I114" t="n">
        <v>0</v>
      </c>
      <c r="J114" t="n">
        <v>2</v>
      </c>
      <c r="K114" t="n">
        <v>0</v>
      </c>
      <c r="L114" t="n">
        <v>0</v>
      </c>
      <c r="M114" t="n">
        <v>0</v>
      </c>
      <c r="N114" t="n">
        <v>0</v>
      </c>
      <c r="O114" t="n">
        <v>2</v>
      </c>
      <c r="P114" t="n">
        <v>0</v>
      </c>
      <c r="Q114" t="n">
        <v>2</v>
      </c>
      <c r="R114" s="2" t="inlineStr">
        <is>
          <t>Dvärgbägarlav
Vedtrappmossa</t>
        </is>
      </c>
      <c r="S114">
        <f>HYPERLINK("https://klasma.github.io/Logging_0561/artfynd/A 54259-2018.xlsx", "A 54259-2018")</f>
        <v/>
      </c>
      <c r="T114">
        <f>HYPERLINK("https://klasma.github.io/Logging_0561/kartor/A 54259-2018.png", "A 54259-2018")</f>
        <v/>
      </c>
      <c r="V114">
        <f>HYPERLINK("https://klasma.github.io/Logging_0561/klagomål/A 54259-2018.docx", "A 54259-2018")</f>
        <v/>
      </c>
      <c r="W114">
        <f>HYPERLINK("https://klasma.github.io/Logging_0561/klagomålsmail/A 54259-2018.docx", "A 54259-2018")</f>
        <v/>
      </c>
      <c r="X114">
        <f>HYPERLINK("https://klasma.github.io/Logging_0561/tillsyn/A 54259-2018.docx", "A 54259-2018")</f>
        <v/>
      </c>
      <c r="Y114">
        <f>HYPERLINK("https://klasma.github.io/Logging_0561/tillsynsmail/A 54259-2018.docx", "A 54259-2018")</f>
        <v/>
      </c>
    </row>
    <row r="115" ht="15" customHeight="1">
      <c r="A115" t="inlineStr">
        <is>
          <t>A 57755-2018</t>
        </is>
      </c>
      <c r="B115" s="1" t="n">
        <v>43405</v>
      </c>
      <c r="C115" s="1" t="n">
        <v>45211</v>
      </c>
      <c r="D115" t="inlineStr">
        <is>
          <t>ÖSTERGÖTLANDS LÄN</t>
        </is>
      </c>
      <c r="E115" t="inlineStr">
        <is>
          <t>YDRE</t>
        </is>
      </c>
      <c r="G115" t="n">
        <v>4.3</v>
      </c>
      <c r="H115" t="n">
        <v>0</v>
      </c>
      <c r="I115" t="n">
        <v>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  <c r="R115" s="2" t="inlineStr">
        <is>
          <t>Bronshjon
Kattfotslav</t>
        </is>
      </c>
      <c r="S115">
        <f>HYPERLINK("https://klasma.github.io/Logging_0512/artfynd/A 57755-2018.xlsx", "A 57755-2018")</f>
        <v/>
      </c>
      <c r="T115">
        <f>HYPERLINK("https://klasma.github.io/Logging_0512/kartor/A 57755-2018.png", "A 57755-2018")</f>
        <v/>
      </c>
      <c r="V115">
        <f>HYPERLINK("https://klasma.github.io/Logging_0512/klagomål/A 57755-2018.docx", "A 57755-2018")</f>
        <v/>
      </c>
      <c r="W115">
        <f>HYPERLINK("https://klasma.github.io/Logging_0512/klagomålsmail/A 57755-2018.docx", "A 57755-2018")</f>
        <v/>
      </c>
      <c r="X115">
        <f>HYPERLINK("https://klasma.github.io/Logging_0512/tillsyn/A 57755-2018.docx", "A 57755-2018")</f>
        <v/>
      </c>
      <c r="Y115">
        <f>HYPERLINK("https://klasma.github.io/Logging_0512/tillsynsmail/A 57755-2018.docx", "A 57755-2018")</f>
        <v/>
      </c>
    </row>
    <row r="116" ht="15" customHeight="1">
      <c r="A116" t="inlineStr">
        <is>
          <t>A 61135-2018</t>
        </is>
      </c>
      <c r="B116" s="1" t="n">
        <v>43423</v>
      </c>
      <c r="C116" s="1" t="n">
        <v>45211</v>
      </c>
      <c r="D116" t="inlineStr">
        <is>
          <t>ÖSTERGÖTLANDS LÄN</t>
        </is>
      </c>
      <c r="E116" t="inlineStr">
        <is>
          <t>LINKÖPING</t>
        </is>
      </c>
      <c r="G116" t="n">
        <v>4.5</v>
      </c>
      <c r="H116" t="n">
        <v>0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2</v>
      </c>
      <c r="R116" s="2" t="inlineStr">
        <is>
          <t>Tallticka
Underviol</t>
        </is>
      </c>
      <c r="S116">
        <f>HYPERLINK("https://klasma.github.io/Logging_0580/artfynd/A 61135-2018.xlsx", "A 61135-2018")</f>
        <v/>
      </c>
      <c r="T116">
        <f>HYPERLINK("https://klasma.github.io/Logging_0580/kartor/A 61135-2018.png", "A 61135-2018")</f>
        <v/>
      </c>
      <c r="V116">
        <f>HYPERLINK("https://klasma.github.io/Logging_0580/klagomål/A 61135-2018.docx", "A 61135-2018")</f>
        <v/>
      </c>
      <c r="W116">
        <f>HYPERLINK("https://klasma.github.io/Logging_0580/klagomålsmail/A 61135-2018.docx", "A 61135-2018")</f>
        <v/>
      </c>
      <c r="X116">
        <f>HYPERLINK("https://klasma.github.io/Logging_0580/tillsyn/A 61135-2018.docx", "A 61135-2018")</f>
        <v/>
      </c>
      <c r="Y116">
        <f>HYPERLINK("https://klasma.github.io/Logging_0580/tillsynsmail/A 61135-2018.docx", "A 61135-2018")</f>
        <v/>
      </c>
    </row>
    <row r="117" ht="15" customHeight="1">
      <c r="A117" t="inlineStr">
        <is>
          <t>A 12051-2019</t>
        </is>
      </c>
      <c r="B117" s="1" t="n">
        <v>43522</v>
      </c>
      <c r="C117" s="1" t="n">
        <v>45211</v>
      </c>
      <c r="D117" t="inlineStr">
        <is>
          <t>ÖSTERGÖTLANDS LÄN</t>
        </is>
      </c>
      <c r="E117" t="inlineStr">
        <is>
          <t>LINKÖPING</t>
        </is>
      </c>
      <c r="G117" t="n">
        <v>1.3</v>
      </c>
      <c r="H117" t="n">
        <v>1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2</v>
      </c>
      <c r="R117" s="2" t="inlineStr">
        <is>
          <t>Svinrot
Gullviva</t>
        </is>
      </c>
      <c r="S117">
        <f>HYPERLINK("https://klasma.github.io/Logging_0580/artfynd/A 12051-2019.xlsx", "A 12051-2019")</f>
        <v/>
      </c>
      <c r="T117">
        <f>HYPERLINK("https://klasma.github.io/Logging_0580/kartor/A 12051-2019.png", "A 12051-2019")</f>
        <v/>
      </c>
      <c r="V117">
        <f>HYPERLINK("https://klasma.github.io/Logging_0580/klagomål/A 12051-2019.docx", "A 12051-2019")</f>
        <v/>
      </c>
      <c r="W117">
        <f>HYPERLINK("https://klasma.github.io/Logging_0580/klagomålsmail/A 12051-2019.docx", "A 12051-2019")</f>
        <v/>
      </c>
      <c r="X117">
        <f>HYPERLINK("https://klasma.github.io/Logging_0580/tillsyn/A 12051-2019.docx", "A 12051-2019")</f>
        <v/>
      </c>
      <c r="Y117">
        <f>HYPERLINK("https://klasma.github.io/Logging_0580/tillsynsmail/A 12051-2019.docx", "A 12051-2019")</f>
        <v/>
      </c>
    </row>
    <row r="118" ht="15" customHeight="1">
      <c r="A118" t="inlineStr">
        <is>
          <t>A 27142-2019</t>
        </is>
      </c>
      <c r="B118" s="1" t="n">
        <v>43608</v>
      </c>
      <c r="C118" s="1" t="n">
        <v>45211</v>
      </c>
      <c r="D118" t="inlineStr">
        <is>
          <t>ÖSTERGÖTLANDS LÄN</t>
        </is>
      </c>
      <c r="E118" t="inlineStr">
        <is>
          <t>SÖDERKÖPING</t>
        </is>
      </c>
      <c r="G118" t="n">
        <v>37.5</v>
      </c>
      <c r="H118" t="n">
        <v>0</v>
      </c>
      <c r="I118" t="n">
        <v>0</v>
      </c>
      <c r="J118" t="n">
        <v>2</v>
      </c>
      <c r="K118" t="n">
        <v>0</v>
      </c>
      <c r="L118" t="n">
        <v>0</v>
      </c>
      <c r="M118" t="n">
        <v>0</v>
      </c>
      <c r="N118" t="n">
        <v>0</v>
      </c>
      <c r="O118" t="n">
        <v>2</v>
      </c>
      <c r="P118" t="n">
        <v>0</v>
      </c>
      <c r="Q118" t="n">
        <v>2</v>
      </c>
      <c r="R118" s="2" t="inlineStr">
        <is>
          <t>Gul dropplav
Gullklöver</t>
        </is>
      </c>
      <c r="S118">
        <f>HYPERLINK("https://klasma.github.io/Logging_0582/artfynd/A 27142-2019.xlsx", "A 27142-2019")</f>
        <v/>
      </c>
      <c r="T118">
        <f>HYPERLINK("https://klasma.github.io/Logging_0582/kartor/A 27142-2019.png", "A 27142-2019")</f>
        <v/>
      </c>
      <c r="V118">
        <f>HYPERLINK("https://klasma.github.io/Logging_0582/klagomål/A 27142-2019.docx", "A 27142-2019")</f>
        <v/>
      </c>
      <c r="W118">
        <f>HYPERLINK("https://klasma.github.io/Logging_0582/klagomålsmail/A 27142-2019.docx", "A 27142-2019")</f>
        <v/>
      </c>
      <c r="X118">
        <f>HYPERLINK("https://klasma.github.io/Logging_0582/tillsyn/A 27142-2019.docx", "A 27142-2019")</f>
        <v/>
      </c>
      <c r="Y118">
        <f>HYPERLINK("https://klasma.github.io/Logging_0582/tillsynsmail/A 27142-2019.docx", "A 27142-2019")</f>
        <v/>
      </c>
    </row>
    <row r="119" ht="15" customHeight="1">
      <c r="A119" t="inlineStr">
        <is>
          <t>A 32282-2019</t>
        </is>
      </c>
      <c r="B119" s="1" t="n">
        <v>43644</v>
      </c>
      <c r="C119" s="1" t="n">
        <v>45211</v>
      </c>
      <c r="D119" t="inlineStr">
        <is>
          <t>ÖSTERGÖTLANDS LÄN</t>
        </is>
      </c>
      <c r="E119" t="inlineStr">
        <is>
          <t>ÅTVIDABERG</t>
        </is>
      </c>
      <c r="G119" t="n">
        <v>0.5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2</v>
      </c>
      <c r="R119" s="2" t="inlineStr">
        <is>
          <t>Flagellkvastmossa
Lopplummer</t>
        </is>
      </c>
      <c r="S119">
        <f>HYPERLINK("https://klasma.github.io/Logging_0561/artfynd/A 32282-2019.xlsx", "A 32282-2019")</f>
        <v/>
      </c>
      <c r="T119">
        <f>HYPERLINK("https://klasma.github.io/Logging_0561/kartor/A 32282-2019.png", "A 32282-2019")</f>
        <v/>
      </c>
      <c r="V119">
        <f>HYPERLINK("https://klasma.github.io/Logging_0561/klagomål/A 32282-2019.docx", "A 32282-2019")</f>
        <v/>
      </c>
      <c r="W119">
        <f>HYPERLINK("https://klasma.github.io/Logging_0561/klagomålsmail/A 32282-2019.docx", "A 32282-2019")</f>
        <v/>
      </c>
      <c r="X119">
        <f>HYPERLINK("https://klasma.github.io/Logging_0561/tillsyn/A 32282-2019.docx", "A 32282-2019")</f>
        <v/>
      </c>
      <c r="Y119">
        <f>HYPERLINK("https://klasma.github.io/Logging_0561/tillsynsmail/A 32282-2019.docx", "A 32282-2019")</f>
        <v/>
      </c>
    </row>
    <row r="120" ht="15" customHeight="1">
      <c r="A120" t="inlineStr">
        <is>
          <t>A 39326-2019</t>
        </is>
      </c>
      <c r="B120" s="1" t="n">
        <v>43690</v>
      </c>
      <c r="C120" s="1" t="n">
        <v>45211</v>
      </c>
      <c r="D120" t="inlineStr">
        <is>
          <t>ÖSTERGÖTLANDS LÄN</t>
        </is>
      </c>
      <c r="E120" t="inlineStr">
        <is>
          <t>LINKÖPING</t>
        </is>
      </c>
      <c r="G120" t="n">
        <v>0.8</v>
      </c>
      <c r="H120" t="n">
        <v>0</v>
      </c>
      <c r="I120" t="n">
        <v>0</v>
      </c>
      <c r="J120" t="n">
        <v>2</v>
      </c>
      <c r="K120" t="n">
        <v>0</v>
      </c>
      <c r="L120" t="n">
        <v>0</v>
      </c>
      <c r="M120" t="n">
        <v>0</v>
      </c>
      <c r="N120" t="n">
        <v>0</v>
      </c>
      <c r="O120" t="n">
        <v>2</v>
      </c>
      <c r="P120" t="n">
        <v>0</v>
      </c>
      <c r="Q120" t="n">
        <v>2</v>
      </c>
      <c r="R120" s="2" t="inlineStr">
        <is>
          <t>Gullklöver
Säfferot</t>
        </is>
      </c>
      <c r="S120">
        <f>HYPERLINK("https://klasma.github.io/Logging_0580/artfynd/A 39326-2019.xlsx", "A 39326-2019")</f>
        <v/>
      </c>
      <c r="T120">
        <f>HYPERLINK("https://klasma.github.io/Logging_0580/kartor/A 39326-2019.png", "A 39326-2019")</f>
        <v/>
      </c>
      <c r="V120">
        <f>HYPERLINK("https://klasma.github.io/Logging_0580/klagomål/A 39326-2019.docx", "A 39326-2019")</f>
        <v/>
      </c>
      <c r="W120">
        <f>HYPERLINK("https://klasma.github.io/Logging_0580/klagomålsmail/A 39326-2019.docx", "A 39326-2019")</f>
        <v/>
      </c>
      <c r="X120">
        <f>HYPERLINK("https://klasma.github.io/Logging_0580/tillsyn/A 39326-2019.docx", "A 39326-2019")</f>
        <v/>
      </c>
      <c r="Y120">
        <f>HYPERLINK("https://klasma.github.io/Logging_0580/tillsynsmail/A 39326-2019.docx", "A 39326-2019")</f>
        <v/>
      </c>
    </row>
    <row r="121" ht="15" customHeight="1">
      <c r="A121" t="inlineStr">
        <is>
          <t>A 42654-2019</t>
        </is>
      </c>
      <c r="B121" s="1" t="n">
        <v>43704</v>
      </c>
      <c r="C121" s="1" t="n">
        <v>45211</v>
      </c>
      <c r="D121" t="inlineStr">
        <is>
          <t>ÖSTERGÖTLANDS LÄN</t>
        </is>
      </c>
      <c r="E121" t="inlineStr">
        <is>
          <t>FINSPÅNG</t>
        </is>
      </c>
      <c r="G121" t="n">
        <v>3.2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2</v>
      </c>
      <c r="P121" t="n">
        <v>0</v>
      </c>
      <c r="Q121" t="n">
        <v>2</v>
      </c>
      <c r="R121" s="2" t="inlineStr">
        <is>
          <t>Slåtterfibbla
Svinrot</t>
        </is>
      </c>
      <c r="S121">
        <f>HYPERLINK("https://klasma.github.io/Logging_0562/artfynd/A 42654-2019.xlsx", "A 42654-2019")</f>
        <v/>
      </c>
      <c r="T121">
        <f>HYPERLINK("https://klasma.github.io/Logging_0562/kartor/A 42654-2019.png", "A 42654-2019")</f>
        <v/>
      </c>
      <c r="V121">
        <f>HYPERLINK("https://klasma.github.io/Logging_0562/klagomål/A 42654-2019.docx", "A 42654-2019")</f>
        <v/>
      </c>
      <c r="W121">
        <f>HYPERLINK("https://klasma.github.io/Logging_0562/klagomålsmail/A 42654-2019.docx", "A 42654-2019")</f>
        <v/>
      </c>
      <c r="X121">
        <f>HYPERLINK("https://klasma.github.io/Logging_0562/tillsyn/A 42654-2019.docx", "A 42654-2019")</f>
        <v/>
      </c>
      <c r="Y121">
        <f>HYPERLINK("https://klasma.github.io/Logging_0562/tillsynsmail/A 42654-2019.docx", "A 42654-2019")</f>
        <v/>
      </c>
    </row>
    <row r="122" ht="15" customHeight="1">
      <c r="A122" t="inlineStr">
        <is>
          <t>A 46200-2019</t>
        </is>
      </c>
      <c r="B122" s="1" t="n">
        <v>43713</v>
      </c>
      <c r="C122" s="1" t="n">
        <v>45211</v>
      </c>
      <c r="D122" t="inlineStr">
        <is>
          <t>ÖSTERGÖTLANDS LÄN</t>
        </is>
      </c>
      <c r="E122" t="inlineStr">
        <is>
          <t>FINSPÅNG</t>
        </is>
      </c>
      <c r="G122" t="n">
        <v>15.4</v>
      </c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s="2" t="inlineStr">
        <is>
          <t>Svart trolldruva
Mattlummer</t>
        </is>
      </c>
      <c r="S122">
        <f>HYPERLINK("https://klasma.github.io/Logging_0562/artfynd/A 46200-2019.xlsx", "A 46200-2019")</f>
        <v/>
      </c>
      <c r="T122">
        <f>HYPERLINK("https://klasma.github.io/Logging_0562/kartor/A 46200-2019.png", "A 46200-2019")</f>
        <v/>
      </c>
      <c r="V122">
        <f>HYPERLINK("https://klasma.github.io/Logging_0562/klagomål/A 46200-2019.docx", "A 46200-2019")</f>
        <v/>
      </c>
      <c r="W122">
        <f>HYPERLINK("https://klasma.github.io/Logging_0562/klagomålsmail/A 46200-2019.docx", "A 46200-2019")</f>
        <v/>
      </c>
      <c r="X122">
        <f>HYPERLINK("https://klasma.github.io/Logging_0562/tillsyn/A 46200-2019.docx", "A 46200-2019")</f>
        <v/>
      </c>
      <c r="Y122">
        <f>HYPERLINK("https://klasma.github.io/Logging_0562/tillsynsmail/A 46200-2019.docx", "A 46200-2019")</f>
        <v/>
      </c>
    </row>
    <row r="123" ht="15" customHeight="1">
      <c r="A123" t="inlineStr">
        <is>
          <t>A 45531-2019</t>
        </is>
      </c>
      <c r="B123" s="1" t="n">
        <v>43714</v>
      </c>
      <c r="C123" s="1" t="n">
        <v>45211</v>
      </c>
      <c r="D123" t="inlineStr">
        <is>
          <t>ÖSTERGÖTLANDS LÄN</t>
        </is>
      </c>
      <c r="E123" t="inlineStr">
        <is>
          <t>LINKÖPING</t>
        </is>
      </c>
      <c r="G123" t="n">
        <v>3.9</v>
      </c>
      <c r="H123" t="n">
        <v>1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2</v>
      </c>
      <c r="R123" s="2" t="inlineStr">
        <is>
          <t>Ängsskära
Grönvit nattviol</t>
        </is>
      </c>
      <c r="S123">
        <f>HYPERLINK("https://klasma.github.io/Logging_0580/artfynd/A 45531-2019.xlsx", "A 45531-2019")</f>
        <v/>
      </c>
      <c r="T123">
        <f>HYPERLINK("https://klasma.github.io/Logging_0580/kartor/A 45531-2019.png", "A 45531-2019")</f>
        <v/>
      </c>
      <c r="V123">
        <f>HYPERLINK("https://klasma.github.io/Logging_0580/klagomål/A 45531-2019.docx", "A 45531-2019")</f>
        <v/>
      </c>
      <c r="W123">
        <f>HYPERLINK("https://klasma.github.io/Logging_0580/klagomålsmail/A 45531-2019.docx", "A 45531-2019")</f>
        <v/>
      </c>
      <c r="X123">
        <f>HYPERLINK("https://klasma.github.io/Logging_0580/tillsyn/A 45531-2019.docx", "A 45531-2019")</f>
        <v/>
      </c>
      <c r="Y123">
        <f>HYPERLINK("https://klasma.github.io/Logging_0580/tillsynsmail/A 45531-2019.docx", "A 45531-2019")</f>
        <v/>
      </c>
    </row>
    <row r="124" ht="15" customHeight="1">
      <c r="A124" t="inlineStr">
        <is>
          <t>A 23893-2020</t>
        </is>
      </c>
      <c r="B124" s="1" t="n">
        <v>43971</v>
      </c>
      <c r="C124" s="1" t="n">
        <v>45211</v>
      </c>
      <c r="D124" t="inlineStr">
        <is>
          <t>ÖSTERGÖTLANDS LÄN</t>
        </is>
      </c>
      <c r="E124" t="inlineStr">
        <is>
          <t>FINSPÅNG</t>
        </is>
      </c>
      <c r="F124" t="inlineStr">
        <is>
          <t>Holmen skog AB</t>
        </is>
      </c>
      <c r="G124" t="n">
        <v>1.9</v>
      </c>
      <c r="H124" t="n">
        <v>0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2</v>
      </c>
      <c r="R124" s="2" t="inlineStr">
        <is>
          <t>Ullticka
Vedticka</t>
        </is>
      </c>
      <c r="S124">
        <f>HYPERLINK("https://klasma.github.io/Logging_0562/artfynd/A 23893-2020.xlsx", "A 23893-2020")</f>
        <v/>
      </c>
      <c r="T124">
        <f>HYPERLINK("https://klasma.github.io/Logging_0562/kartor/A 23893-2020.png", "A 23893-2020")</f>
        <v/>
      </c>
      <c r="V124">
        <f>HYPERLINK("https://klasma.github.io/Logging_0562/klagomål/A 23893-2020.docx", "A 23893-2020")</f>
        <v/>
      </c>
      <c r="W124">
        <f>HYPERLINK("https://klasma.github.io/Logging_0562/klagomålsmail/A 23893-2020.docx", "A 23893-2020")</f>
        <v/>
      </c>
      <c r="X124">
        <f>HYPERLINK("https://klasma.github.io/Logging_0562/tillsyn/A 23893-2020.docx", "A 23893-2020")</f>
        <v/>
      </c>
      <c r="Y124">
        <f>HYPERLINK("https://klasma.github.io/Logging_0562/tillsynsmail/A 23893-2020.docx", "A 23893-2020")</f>
        <v/>
      </c>
    </row>
    <row r="125" ht="15" customHeight="1">
      <c r="A125" t="inlineStr">
        <is>
          <t>A 26562-2020</t>
        </is>
      </c>
      <c r="B125" s="1" t="n">
        <v>43987</v>
      </c>
      <c r="C125" s="1" t="n">
        <v>45211</v>
      </c>
      <c r="D125" t="inlineStr">
        <is>
          <t>ÖSTERGÖTLANDS LÄN</t>
        </is>
      </c>
      <c r="E125" t="inlineStr">
        <is>
          <t>KINDA</t>
        </is>
      </c>
      <c r="G125" t="n">
        <v>5.5</v>
      </c>
      <c r="H125" t="n">
        <v>0</v>
      </c>
      <c r="I125" t="n">
        <v>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s="2" t="inlineStr">
        <is>
          <t>Skogsbräsma
Svart trolldruva</t>
        </is>
      </c>
      <c r="S125">
        <f>HYPERLINK("https://klasma.github.io/Logging_0513/artfynd/A 26562-2020.xlsx", "A 26562-2020")</f>
        <v/>
      </c>
      <c r="T125">
        <f>HYPERLINK("https://klasma.github.io/Logging_0513/kartor/A 26562-2020.png", "A 26562-2020")</f>
        <v/>
      </c>
      <c r="V125">
        <f>HYPERLINK("https://klasma.github.io/Logging_0513/klagomål/A 26562-2020.docx", "A 26562-2020")</f>
        <v/>
      </c>
      <c r="W125">
        <f>HYPERLINK("https://klasma.github.io/Logging_0513/klagomålsmail/A 26562-2020.docx", "A 26562-2020")</f>
        <v/>
      </c>
      <c r="X125">
        <f>HYPERLINK("https://klasma.github.io/Logging_0513/tillsyn/A 26562-2020.docx", "A 26562-2020")</f>
        <v/>
      </c>
      <c r="Y125">
        <f>HYPERLINK("https://klasma.github.io/Logging_0513/tillsynsmail/A 26562-2020.docx", "A 26562-2020")</f>
        <v/>
      </c>
    </row>
    <row r="126" ht="15" customHeight="1">
      <c r="A126" t="inlineStr">
        <is>
          <t>A 33435-2020</t>
        </is>
      </c>
      <c r="B126" s="1" t="n">
        <v>44022</v>
      </c>
      <c r="C126" s="1" t="n">
        <v>45211</v>
      </c>
      <c r="D126" t="inlineStr">
        <is>
          <t>ÖSTERGÖTLANDS LÄN</t>
        </is>
      </c>
      <c r="E126" t="inlineStr">
        <is>
          <t>ÖDESHÖG</t>
        </is>
      </c>
      <c r="G126" t="n">
        <v>1.6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2</v>
      </c>
      <c r="R126" s="2" t="inlineStr">
        <is>
          <t>Slåtterfibbla
Svart trolldruva</t>
        </is>
      </c>
      <c r="S126">
        <f>HYPERLINK("https://klasma.github.io/Logging_0509/artfynd/A 33435-2020.xlsx", "A 33435-2020")</f>
        <v/>
      </c>
      <c r="T126">
        <f>HYPERLINK("https://klasma.github.io/Logging_0509/kartor/A 33435-2020.png", "A 33435-2020")</f>
        <v/>
      </c>
      <c r="V126">
        <f>HYPERLINK("https://klasma.github.io/Logging_0509/klagomål/A 33435-2020.docx", "A 33435-2020")</f>
        <v/>
      </c>
      <c r="W126">
        <f>HYPERLINK("https://klasma.github.io/Logging_0509/klagomålsmail/A 33435-2020.docx", "A 33435-2020")</f>
        <v/>
      </c>
      <c r="X126">
        <f>HYPERLINK("https://klasma.github.io/Logging_0509/tillsyn/A 33435-2020.docx", "A 33435-2020")</f>
        <v/>
      </c>
      <c r="Y126">
        <f>HYPERLINK("https://klasma.github.io/Logging_0509/tillsynsmail/A 33435-2020.docx", "A 33435-2020")</f>
        <v/>
      </c>
    </row>
    <row r="127" ht="15" customHeight="1">
      <c r="A127" t="inlineStr">
        <is>
          <t>A 34220-2020</t>
        </is>
      </c>
      <c r="B127" s="1" t="n">
        <v>44029</v>
      </c>
      <c r="C127" s="1" t="n">
        <v>45211</v>
      </c>
      <c r="D127" t="inlineStr">
        <is>
          <t>ÖSTERGÖTLANDS LÄN</t>
        </is>
      </c>
      <c r="E127" t="inlineStr">
        <is>
          <t>VALDEMARSVIK</t>
        </is>
      </c>
      <c r="G127" t="n">
        <v>3.6</v>
      </c>
      <c r="H127" t="n">
        <v>2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2</v>
      </c>
      <c r="R127" s="2" t="inlineStr">
        <is>
          <t>Ängsnycklar
Blåsippa</t>
        </is>
      </c>
      <c r="S127">
        <f>HYPERLINK("https://klasma.github.io/Logging_0563/artfynd/A 34220-2020.xlsx", "A 34220-2020")</f>
        <v/>
      </c>
      <c r="T127">
        <f>HYPERLINK("https://klasma.github.io/Logging_0563/kartor/A 34220-2020.png", "A 34220-2020")</f>
        <v/>
      </c>
      <c r="V127">
        <f>HYPERLINK("https://klasma.github.io/Logging_0563/klagomål/A 34220-2020.docx", "A 34220-2020")</f>
        <v/>
      </c>
      <c r="W127">
        <f>HYPERLINK("https://klasma.github.io/Logging_0563/klagomålsmail/A 34220-2020.docx", "A 34220-2020")</f>
        <v/>
      </c>
      <c r="X127">
        <f>HYPERLINK("https://klasma.github.io/Logging_0563/tillsyn/A 34220-2020.docx", "A 34220-2020")</f>
        <v/>
      </c>
      <c r="Y127">
        <f>HYPERLINK("https://klasma.github.io/Logging_0563/tillsynsmail/A 34220-2020.docx", "A 34220-2020")</f>
        <v/>
      </c>
    </row>
    <row r="128" ht="15" customHeight="1">
      <c r="A128" t="inlineStr">
        <is>
          <t>A 35484-2020</t>
        </is>
      </c>
      <c r="B128" s="1" t="n">
        <v>44042</v>
      </c>
      <c r="C128" s="1" t="n">
        <v>45211</v>
      </c>
      <c r="D128" t="inlineStr">
        <is>
          <t>ÖSTERGÖTLANDS LÄN</t>
        </is>
      </c>
      <c r="E128" t="inlineStr">
        <is>
          <t>MJÖLBY</t>
        </is>
      </c>
      <c r="F128" t="inlineStr">
        <is>
          <t>Kyrkan</t>
        </is>
      </c>
      <c r="G128" t="n">
        <v>1.6</v>
      </c>
      <c r="H128" t="n">
        <v>0</v>
      </c>
      <c r="I128" t="n">
        <v>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s="2" t="inlineStr">
        <is>
          <t>Springkorn
Strutbräken</t>
        </is>
      </c>
      <c r="S128">
        <f>HYPERLINK("https://klasma.github.io/Logging_0586/artfynd/A 35484-2020.xlsx", "A 35484-2020")</f>
        <v/>
      </c>
      <c r="T128">
        <f>HYPERLINK("https://klasma.github.io/Logging_0586/kartor/A 35484-2020.png", "A 35484-2020")</f>
        <v/>
      </c>
      <c r="V128">
        <f>HYPERLINK("https://klasma.github.io/Logging_0586/klagomål/A 35484-2020.docx", "A 35484-2020")</f>
        <v/>
      </c>
      <c r="W128">
        <f>HYPERLINK("https://klasma.github.io/Logging_0586/klagomålsmail/A 35484-2020.docx", "A 35484-2020")</f>
        <v/>
      </c>
      <c r="X128">
        <f>HYPERLINK("https://klasma.github.io/Logging_0586/tillsyn/A 35484-2020.docx", "A 35484-2020")</f>
        <v/>
      </c>
      <c r="Y128">
        <f>HYPERLINK("https://klasma.github.io/Logging_0586/tillsynsmail/A 35484-2020.docx", "A 35484-2020")</f>
        <v/>
      </c>
    </row>
    <row r="129" ht="15" customHeight="1">
      <c r="A129" t="inlineStr">
        <is>
          <t>A 40291-2020</t>
        </is>
      </c>
      <c r="B129" s="1" t="n">
        <v>44067</v>
      </c>
      <c r="C129" s="1" t="n">
        <v>45211</v>
      </c>
      <c r="D129" t="inlineStr">
        <is>
          <t>ÖSTERGÖTLANDS LÄN</t>
        </is>
      </c>
      <c r="E129" t="inlineStr">
        <is>
          <t>NORRKÖPING</t>
        </is>
      </c>
      <c r="G129" t="n">
        <v>11.6</v>
      </c>
      <c r="H129" t="n">
        <v>0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2</v>
      </c>
      <c r="R129" s="2" t="inlineStr">
        <is>
          <t>Tallticka
Gullgröppa</t>
        </is>
      </c>
      <c r="S129">
        <f>HYPERLINK("https://klasma.github.io/Logging_0581/artfynd/A 40291-2020.xlsx", "A 40291-2020")</f>
        <v/>
      </c>
      <c r="T129">
        <f>HYPERLINK("https://klasma.github.io/Logging_0581/kartor/A 40291-2020.png", "A 40291-2020")</f>
        <v/>
      </c>
      <c r="V129">
        <f>HYPERLINK("https://klasma.github.io/Logging_0581/klagomål/A 40291-2020.docx", "A 40291-2020")</f>
        <v/>
      </c>
      <c r="W129">
        <f>HYPERLINK("https://klasma.github.io/Logging_0581/klagomålsmail/A 40291-2020.docx", "A 40291-2020")</f>
        <v/>
      </c>
      <c r="X129">
        <f>HYPERLINK("https://klasma.github.io/Logging_0581/tillsyn/A 40291-2020.docx", "A 40291-2020")</f>
        <v/>
      </c>
      <c r="Y129">
        <f>HYPERLINK("https://klasma.github.io/Logging_0581/tillsynsmail/A 40291-2020.docx", "A 40291-2020")</f>
        <v/>
      </c>
    </row>
    <row r="130" ht="15" customHeight="1">
      <c r="A130" t="inlineStr">
        <is>
          <t>A 59837-2020</t>
        </is>
      </c>
      <c r="B130" s="1" t="n">
        <v>44151</v>
      </c>
      <c r="C130" s="1" t="n">
        <v>45211</v>
      </c>
      <c r="D130" t="inlineStr">
        <is>
          <t>ÖSTERGÖTLANDS LÄN</t>
        </is>
      </c>
      <c r="E130" t="inlineStr">
        <is>
          <t>VALDEMARSVIK</t>
        </is>
      </c>
      <c r="F130" t="inlineStr">
        <is>
          <t>Kommuner</t>
        </is>
      </c>
      <c r="G130" t="n">
        <v>0.4</v>
      </c>
      <c r="H130" t="n">
        <v>0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2</v>
      </c>
      <c r="P130" t="n">
        <v>1</v>
      </c>
      <c r="Q130" t="n">
        <v>2</v>
      </c>
      <c r="R130" s="2" t="inlineStr">
        <is>
          <t>Färgginst
Skogsklocka</t>
        </is>
      </c>
      <c r="S130">
        <f>HYPERLINK("https://klasma.github.io/Logging_0563/artfynd/A 59837-2020.xlsx", "A 59837-2020")</f>
        <v/>
      </c>
      <c r="T130">
        <f>HYPERLINK("https://klasma.github.io/Logging_0563/kartor/A 59837-2020.png", "A 59837-2020")</f>
        <v/>
      </c>
      <c r="V130">
        <f>HYPERLINK("https://klasma.github.io/Logging_0563/klagomål/A 59837-2020.docx", "A 59837-2020")</f>
        <v/>
      </c>
      <c r="W130">
        <f>HYPERLINK("https://klasma.github.io/Logging_0563/klagomålsmail/A 59837-2020.docx", "A 59837-2020")</f>
        <v/>
      </c>
      <c r="X130">
        <f>HYPERLINK("https://klasma.github.io/Logging_0563/tillsyn/A 59837-2020.docx", "A 59837-2020")</f>
        <v/>
      </c>
      <c r="Y130">
        <f>HYPERLINK("https://klasma.github.io/Logging_0563/tillsynsmail/A 59837-2020.docx", "A 59837-2020")</f>
        <v/>
      </c>
    </row>
    <row r="131" ht="15" customHeight="1">
      <c r="A131" t="inlineStr">
        <is>
          <t>A 9382-2021</t>
        </is>
      </c>
      <c r="B131" s="1" t="n">
        <v>44250</v>
      </c>
      <c r="C131" s="1" t="n">
        <v>45211</v>
      </c>
      <c r="D131" t="inlineStr">
        <is>
          <t>ÖSTERGÖTLANDS LÄN</t>
        </is>
      </c>
      <c r="E131" t="inlineStr">
        <is>
          <t>ÅTVIDABERG</t>
        </is>
      </c>
      <c r="F131" t="inlineStr">
        <is>
          <t>Sveaskog</t>
        </is>
      </c>
      <c r="G131" t="n">
        <v>0.9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2</v>
      </c>
      <c r="P131" t="n">
        <v>1</v>
      </c>
      <c r="Q131" t="n">
        <v>2</v>
      </c>
      <c r="R131" s="2" t="inlineStr">
        <is>
          <t>Knärot
Ullticka</t>
        </is>
      </c>
      <c r="S131">
        <f>HYPERLINK("https://klasma.github.io/Logging_0561/artfynd/A 9382-2021.xlsx", "A 9382-2021")</f>
        <v/>
      </c>
      <c r="T131">
        <f>HYPERLINK("https://klasma.github.io/Logging_0561/kartor/A 9382-2021.png", "A 9382-2021")</f>
        <v/>
      </c>
      <c r="U131">
        <f>HYPERLINK("https://klasma.github.io/Logging_0561/knärot/A 9382-2021.png", "A 9382-2021")</f>
        <v/>
      </c>
      <c r="V131">
        <f>HYPERLINK("https://klasma.github.io/Logging_0561/klagomål/A 9382-2021.docx", "A 9382-2021")</f>
        <v/>
      </c>
      <c r="W131">
        <f>HYPERLINK("https://klasma.github.io/Logging_0561/klagomålsmail/A 9382-2021.docx", "A 9382-2021")</f>
        <v/>
      </c>
      <c r="X131">
        <f>HYPERLINK("https://klasma.github.io/Logging_0561/tillsyn/A 9382-2021.docx", "A 9382-2021")</f>
        <v/>
      </c>
      <c r="Y131">
        <f>HYPERLINK("https://klasma.github.io/Logging_0561/tillsynsmail/A 9382-2021.docx", "A 9382-2021")</f>
        <v/>
      </c>
    </row>
    <row r="132" ht="15" customHeight="1">
      <c r="A132" t="inlineStr">
        <is>
          <t>A 16760-2021</t>
        </is>
      </c>
      <c r="B132" s="1" t="n">
        <v>44294</v>
      </c>
      <c r="C132" s="1" t="n">
        <v>45211</v>
      </c>
      <c r="D132" t="inlineStr">
        <is>
          <t>ÖSTERGÖTLANDS LÄN</t>
        </is>
      </c>
      <c r="E132" t="inlineStr">
        <is>
          <t>LINKÖPING</t>
        </is>
      </c>
      <c r="G132" t="n">
        <v>5</v>
      </c>
      <c r="H132" t="n">
        <v>0</v>
      </c>
      <c r="I132" t="n">
        <v>0</v>
      </c>
      <c r="J132" t="n">
        <v>2</v>
      </c>
      <c r="K132" t="n">
        <v>0</v>
      </c>
      <c r="L132" t="n">
        <v>0</v>
      </c>
      <c r="M132" t="n">
        <v>0</v>
      </c>
      <c r="N132" t="n">
        <v>0</v>
      </c>
      <c r="O132" t="n">
        <v>2</v>
      </c>
      <c r="P132" t="n">
        <v>0</v>
      </c>
      <c r="Q132" t="n">
        <v>2</v>
      </c>
      <c r="R132" s="2" t="inlineStr">
        <is>
          <t>Blekticka
Skuggorangelav</t>
        </is>
      </c>
      <c r="S132">
        <f>HYPERLINK("https://klasma.github.io/Logging_0580/artfynd/A 16760-2021.xlsx", "A 16760-2021")</f>
        <v/>
      </c>
      <c r="T132">
        <f>HYPERLINK("https://klasma.github.io/Logging_0580/kartor/A 16760-2021.png", "A 16760-2021")</f>
        <v/>
      </c>
      <c r="V132">
        <f>HYPERLINK("https://klasma.github.io/Logging_0580/klagomål/A 16760-2021.docx", "A 16760-2021")</f>
        <v/>
      </c>
      <c r="W132">
        <f>HYPERLINK("https://klasma.github.io/Logging_0580/klagomålsmail/A 16760-2021.docx", "A 16760-2021")</f>
        <v/>
      </c>
      <c r="X132">
        <f>HYPERLINK("https://klasma.github.io/Logging_0580/tillsyn/A 16760-2021.docx", "A 16760-2021")</f>
        <v/>
      </c>
      <c r="Y132">
        <f>HYPERLINK("https://klasma.github.io/Logging_0580/tillsynsmail/A 16760-2021.docx", "A 16760-2021")</f>
        <v/>
      </c>
    </row>
    <row r="133" ht="15" customHeight="1">
      <c r="A133" t="inlineStr">
        <is>
          <t>A 18366-2021</t>
        </is>
      </c>
      <c r="B133" s="1" t="n">
        <v>44305</v>
      </c>
      <c r="C133" s="1" t="n">
        <v>45211</v>
      </c>
      <c r="D133" t="inlineStr">
        <is>
          <t>ÖSTERGÖTLANDS LÄN</t>
        </is>
      </c>
      <c r="E133" t="inlineStr">
        <is>
          <t>FINSPÅNG</t>
        </is>
      </c>
      <c r="F133" t="inlineStr">
        <is>
          <t>Holmen skog AB</t>
        </is>
      </c>
      <c r="G133" t="n">
        <v>2.7</v>
      </c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  <c r="R133" s="2" t="inlineStr">
        <is>
          <t>Grönpyrola
Nattviol</t>
        </is>
      </c>
      <c r="S133">
        <f>HYPERLINK("https://klasma.github.io/Logging_0562/artfynd/A 18366-2021.xlsx", "A 18366-2021")</f>
        <v/>
      </c>
      <c r="T133">
        <f>HYPERLINK("https://klasma.github.io/Logging_0562/kartor/A 18366-2021.png", "A 18366-2021")</f>
        <v/>
      </c>
      <c r="V133">
        <f>HYPERLINK("https://klasma.github.io/Logging_0562/klagomål/A 18366-2021.docx", "A 18366-2021")</f>
        <v/>
      </c>
      <c r="W133">
        <f>HYPERLINK("https://klasma.github.io/Logging_0562/klagomålsmail/A 18366-2021.docx", "A 18366-2021")</f>
        <v/>
      </c>
      <c r="X133">
        <f>HYPERLINK("https://klasma.github.io/Logging_0562/tillsyn/A 18366-2021.docx", "A 18366-2021")</f>
        <v/>
      </c>
      <c r="Y133">
        <f>HYPERLINK("https://klasma.github.io/Logging_0562/tillsynsmail/A 18366-2021.docx", "A 18366-2021")</f>
        <v/>
      </c>
    </row>
    <row r="134" ht="15" customHeight="1">
      <c r="A134" t="inlineStr">
        <is>
          <t>A 30642-2021</t>
        </is>
      </c>
      <c r="B134" s="1" t="n">
        <v>44365</v>
      </c>
      <c r="C134" s="1" t="n">
        <v>45211</v>
      </c>
      <c r="D134" t="inlineStr">
        <is>
          <t>ÖSTERGÖTLANDS LÄN</t>
        </is>
      </c>
      <c r="E134" t="inlineStr">
        <is>
          <t>MJÖLBY</t>
        </is>
      </c>
      <c r="F134" t="inlineStr">
        <is>
          <t>Sveaskog</t>
        </is>
      </c>
      <c r="G134" t="n">
        <v>2</v>
      </c>
      <c r="H134" t="n">
        <v>2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2</v>
      </c>
      <c r="R134" s="2" t="inlineStr">
        <is>
          <t>Tvåblad
Grönvit nattviol</t>
        </is>
      </c>
      <c r="S134">
        <f>HYPERLINK("https://klasma.github.io/Logging_0586/artfynd/A 30642-2021.xlsx", "A 30642-2021")</f>
        <v/>
      </c>
      <c r="T134">
        <f>HYPERLINK("https://klasma.github.io/Logging_0586/kartor/A 30642-2021.png", "A 30642-2021")</f>
        <v/>
      </c>
      <c r="V134">
        <f>HYPERLINK("https://klasma.github.io/Logging_0586/klagomål/A 30642-2021.docx", "A 30642-2021")</f>
        <v/>
      </c>
      <c r="W134">
        <f>HYPERLINK("https://klasma.github.io/Logging_0586/klagomålsmail/A 30642-2021.docx", "A 30642-2021")</f>
        <v/>
      </c>
      <c r="X134">
        <f>HYPERLINK("https://klasma.github.io/Logging_0586/tillsyn/A 30642-2021.docx", "A 30642-2021")</f>
        <v/>
      </c>
      <c r="Y134">
        <f>HYPERLINK("https://klasma.github.io/Logging_0586/tillsynsmail/A 30642-2021.docx", "A 30642-2021")</f>
        <v/>
      </c>
    </row>
    <row r="135" ht="15" customHeight="1">
      <c r="A135" t="inlineStr">
        <is>
          <t>A 40493-2021</t>
        </is>
      </c>
      <c r="B135" s="1" t="n">
        <v>44420</v>
      </c>
      <c r="C135" s="1" t="n">
        <v>45211</v>
      </c>
      <c r="D135" t="inlineStr">
        <is>
          <t>ÖSTERGÖTLANDS LÄN</t>
        </is>
      </c>
      <c r="E135" t="inlineStr">
        <is>
          <t>ÖDESHÖG</t>
        </is>
      </c>
      <c r="G135" t="n">
        <v>0.7</v>
      </c>
      <c r="H135" t="n">
        <v>2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1</v>
      </c>
      <c r="P135" t="n">
        <v>1</v>
      </c>
      <c r="Q135" t="n">
        <v>2</v>
      </c>
      <c r="R135" s="2" t="inlineStr">
        <is>
          <t>Knärot
Revlummer</t>
        </is>
      </c>
      <c r="S135">
        <f>HYPERLINK("https://klasma.github.io/Logging_0509/artfynd/A 40493-2021.xlsx", "A 40493-2021")</f>
        <v/>
      </c>
      <c r="T135">
        <f>HYPERLINK("https://klasma.github.io/Logging_0509/kartor/A 40493-2021.png", "A 40493-2021")</f>
        <v/>
      </c>
      <c r="U135">
        <f>HYPERLINK("https://klasma.github.io/Logging_0509/knärot/A 40493-2021.png", "A 40493-2021")</f>
        <v/>
      </c>
      <c r="V135">
        <f>HYPERLINK("https://klasma.github.io/Logging_0509/klagomål/A 40493-2021.docx", "A 40493-2021")</f>
        <v/>
      </c>
      <c r="W135">
        <f>HYPERLINK("https://klasma.github.io/Logging_0509/klagomålsmail/A 40493-2021.docx", "A 40493-2021")</f>
        <v/>
      </c>
      <c r="X135">
        <f>HYPERLINK("https://klasma.github.io/Logging_0509/tillsyn/A 40493-2021.docx", "A 40493-2021")</f>
        <v/>
      </c>
      <c r="Y135">
        <f>HYPERLINK("https://klasma.github.io/Logging_0509/tillsynsmail/A 40493-2021.docx", "A 40493-2021")</f>
        <v/>
      </c>
    </row>
    <row r="136" ht="15" customHeight="1">
      <c r="A136" t="inlineStr">
        <is>
          <t>A 49366-2021</t>
        </is>
      </c>
      <c r="B136" s="1" t="n">
        <v>44454</v>
      </c>
      <c r="C136" s="1" t="n">
        <v>45211</v>
      </c>
      <c r="D136" t="inlineStr">
        <is>
          <t>ÖSTERGÖTLANDS LÄN</t>
        </is>
      </c>
      <c r="E136" t="inlineStr">
        <is>
          <t>NORRKÖPING</t>
        </is>
      </c>
      <c r="F136" t="inlineStr">
        <is>
          <t>Allmännings- och besparingsskogar</t>
        </is>
      </c>
      <c r="G136" t="n">
        <v>7</v>
      </c>
      <c r="H136" t="n">
        <v>1</v>
      </c>
      <c r="I136" t="n">
        <v>1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  <c r="P136" t="n">
        <v>1</v>
      </c>
      <c r="Q136" t="n">
        <v>2</v>
      </c>
      <c r="R136" s="2" t="inlineStr">
        <is>
          <t>Knärot
Sårläka</t>
        </is>
      </c>
      <c r="S136">
        <f>HYPERLINK("https://klasma.github.io/Logging_0581/artfynd/A 49366-2021.xlsx", "A 49366-2021")</f>
        <v/>
      </c>
      <c r="T136">
        <f>HYPERLINK("https://klasma.github.io/Logging_0581/kartor/A 49366-2021.png", "A 49366-2021")</f>
        <v/>
      </c>
      <c r="U136">
        <f>HYPERLINK("https://klasma.github.io/Logging_0581/knärot/A 49366-2021.png", "A 49366-2021")</f>
        <v/>
      </c>
      <c r="V136">
        <f>HYPERLINK("https://klasma.github.io/Logging_0581/klagomål/A 49366-2021.docx", "A 49366-2021")</f>
        <v/>
      </c>
      <c r="W136">
        <f>HYPERLINK("https://klasma.github.io/Logging_0581/klagomålsmail/A 49366-2021.docx", "A 49366-2021")</f>
        <v/>
      </c>
      <c r="X136">
        <f>HYPERLINK("https://klasma.github.io/Logging_0581/tillsyn/A 49366-2021.docx", "A 49366-2021")</f>
        <v/>
      </c>
      <c r="Y136">
        <f>HYPERLINK("https://klasma.github.io/Logging_0581/tillsynsmail/A 49366-2021.docx", "A 49366-2021")</f>
        <v/>
      </c>
    </row>
    <row r="137" ht="15" customHeight="1">
      <c r="A137" t="inlineStr">
        <is>
          <t>A 56243-2021</t>
        </is>
      </c>
      <c r="B137" s="1" t="n">
        <v>44478</v>
      </c>
      <c r="C137" s="1" t="n">
        <v>45211</v>
      </c>
      <c r="D137" t="inlineStr">
        <is>
          <t>ÖSTERGÖTLANDS LÄN</t>
        </is>
      </c>
      <c r="E137" t="inlineStr">
        <is>
          <t>KINDA</t>
        </is>
      </c>
      <c r="F137" t="inlineStr">
        <is>
          <t>Övriga Aktiebolag</t>
        </is>
      </c>
      <c r="G137" t="n">
        <v>12.2</v>
      </c>
      <c r="H137" t="n">
        <v>1</v>
      </c>
      <c r="I137" t="n">
        <v>1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  <c r="P137" t="n">
        <v>1</v>
      </c>
      <c r="Q137" t="n">
        <v>2</v>
      </c>
      <c r="R137" s="2" t="inlineStr">
        <is>
          <t>Ryl
Spindelblomster</t>
        </is>
      </c>
      <c r="S137">
        <f>HYPERLINK("https://klasma.github.io/Logging_0513/artfynd/A 56243-2021.xlsx", "A 56243-2021")</f>
        <v/>
      </c>
      <c r="T137">
        <f>HYPERLINK("https://klasma.github.io/Logging_0513/kartor/A 56243-2021.png", "A 56243-2021")</f>
        <v/>
      </c>
      <c r="V137">
        <f>HYPERLINK("https://klasma.github.io/Logging_0513/klagomål/A 56243-2021.docx", "A 56243-2021")</f>
        <v/>
      </c>
      <c r="W137">
        <f>HYPERLINK("https://klasma.github.io/Logging_0513/klagomålsmail/A 56243-2021.docx", "A 56243-2021")</f>
        <v/>
      </c>
      <c r="X137">
        <f>HYPERLINK("https://klasma.github.io/Logging_0513/tillsyn/A 56243-2021.docx", "A 56243-2021")</f>
        <v/>
      </c>
      <c r="Y137">
        <f>HYPERLINK("https://klasma.github.io/Logging_0513/tillsynsmail/A 56243-2021.docx", "A 56243-2021")</f>
        <v/>
      </c>
    </row>
    <row r="138" ht="15" customHeight="1">
      <c r="A138" t="inlineStr">
        <is>
          <t>A 58068-2021</t>
        </is>
      </c>
      <c r="B138" s="1" t="n">
        <v>44487</v>
      </c>
      <c r="C138" s="1" t="n">
        <v>45211</v>
      </c>
      <c r="D138" t="inlineStr">
        <is>
          <t>ÖSTERGÖTLANDS LÄN</t>
        </is>
      </c>
      <c r="E138" t="inlineStr">
        <is>
          <t>LINKÖPING</t>
        </is>
      </c>
      <c r="F138" t="inlineStr">
        <is>
          <t>Övriga Aktiebolag</t>
        </is>
      </c>
      <c r="G138" t="n">
        <v>1.2</v>
      </c>
      <c r="H138" t="n">
        <v>0</v>
      </c>
      <c r="I138" t="n">
        <v>0</v>
      </c>
      <c r="J138" t="n">
        <v>2</v>
      </c>
      <c r="K138" t="n">
        <v>0</v>
      </c>
      <c r="L138" t="n">
        <v>0</v>
      </c>
      <c r="M138" t="n">
        <v>0</v>
      </c>
      <c r="N138" t="n">
        <v>0</v>
      </c>
      <c r="O138" t="n">
        <v>2</v>
      </c>
      <c r="P138" t="n">
        <v>0</v>
      </c>
      <c r="Q138" t="n">
        <v>2</v>
      </c>
      <c r="R138" s="2" t="inlineStr">
        <is>
          <t>Rödbrun blekspik
Skuggorangelav</t>
        </is>
      </c>
      <c r="S138">
        <f>HYPERLINK("https://klasma.github.io/Logging_0580/artfynd/A 58068-2021.xlsx", "A 58068-2021")</f>
        <v/>
      </c>
      <c r="T138">
        <f>HYPERLINK("https://klasma.github.io/Logging_0580/kartor/A 58068-2021.png", "A 58068-2021")</f>
        <v/>
      </c>
      <c r="V138">
        <f>HYPERLINK("https://klasma.github.io/Logging_0580/klagomål/A 58068-2021.docx", "A 58068-2021")</f>
        <v/>
      </c>
      <c r="W138">
        <f>HYPERLINK("https://klasma.github.io/Logging_0580/klagomålsmail/A 58068-2021.docx", "A 58068-2021")</f>
        <v/>
      </c>
      <c r="X138">
        <f>HYPERLINK("https://klasma.github.io/Logging_0580/tillsyn/A 58068-2021.docx", "A 58068-2021")</f>
        <v/>
      </c>
      <c r="Y138">
        <f>HYPERLINK("https://klasma.github.io/Logging_0580/tillsynsmail/A 58068-2021.docx", "A 58068-2021")</f>
        <v/>
      </c>
    </row>
    <row r="139" ht="15" customHeight="1">
      <c r="A139" t="inlineStr">
        <is>
          <t>A 71028-2021</t>
        </is>
      </c>
      <c r="B139" s="1" t="n">
        <v>44537</v>
      </c>
      <c r="C139" s="1" t="n">
        <v>45211</v>
      </c>
      <c r="D139" t="inlineStr">
        <is>
          <t>ÖSTERGÖTLANDS LÄN</t>
        </is>
      </c>
      <c r="E139" t="inlineStr">
        <is>
          <t>BOXHOLM</t>
        </is>
      </c>
      <c r="G139" t="n">
        <v>2.1</v>
      </c>
      <c r="H139" t="n">
        <v>0</v>
      </c>
      <c r="I139" t="n">
        <v>0</v>
      </c>
      <c r="J139" t="n">
        <v>1</v>
      </c>
      <c r="K139" t="n">
        <v>0</v>
      </c>
      <c r="L139" t="n">
        <v>1</v>
      </c>
      <c r="M139" t="n">
        <v>0</v>
      </c>
      <c r="N139" t="n">
        <v>0</v>
      </c>
      <c r="O139" t="n">
        <v>2</v>
      </c>
      <c r="P139" t="n">
        <v>1</v>
      </c>
      <c r="Q139" t="n">
        <v>2</v>
      </c>
      <c r="R139" s="2" t="inlineStr">
        <is>
          <t>Bredgentiana
Jordtistel</t>
        </is>
      </c>
      <c r="S139">
        <f>HYPERLINK("https://klasma.github.io/Logging_0560/artfynd/A 71028-2021.xlsx", "A 71028-2021")</f>
        <v/>
      </c>
      <c r="T139">
        <f>HYPERLINK("https://klasma.github.io/Logging_0560/kartor/A 71028-2021.png", "A 71028-2021")</f>
        <v/>
      </c>
      <c r="V139">
        <f>HYPERLINK("https://klasma.github.io/Logging_0560/klagomål/A 71028-2021.docx", "A 71028-2021")</f>
        <v/>
      </c>
      <c r="W139">
        <f>HYPERLINK("https://klasma.github.io/Logging_0560/klagomålsmail/A 71028-2021.docx", "A 71028-2021")</f>
        <v/>
      </c>
      <c r="X139">
        <f>HYPERLINK("https://klasma.github.io/Logging_0560/tillsyn/A 71028-2021.docx", "A 71028-2021")</f>
        <v/>
      </c>
      <c r="Y139">
        <f>HYPERLINK("https://klasma.github.io/Logging_0560/tillsynsmail/A 71028-2021.docx", "A 71028-2021")</f>
        <v/>
      </c>
    </row>
    <row r="140" ht="15" customHeight="1">
      <c r="A140" t="inlineStr">
        <is>
          <t>A 11501-2022</t>
        </is>
      </c>
      <c r="B140" s="1" t="n">
        <v>44631</v>
      </c>
      <c r="C140" s="1" t="n">
        <v>45211</v>
      </c>
      <c r="D140" t="inlineStr">
        <is>
          <t>ÖSTERGÖTLANDS LÄN</t>
        </is>
      </c>
      <c r="E140" t="inlineStr">
        <is>
          <t>ÅTVIDABERG</t>
        </is>
      </c>
      <c r="G140" t="n">
        <v>1</v>
      </c>
      <c r="H140" t="n">
        <v>0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  <c r="R140" s="2" t="inlineStr">
        <is>
          <t>Dvärghäxört
Springkorn</t>
        </is>
      </c>
      <c r="S140">
        <f>HYPERLINK("https://klasma.github.io/Logging_0561/artfynd/A 11501-2022.xlsx", "A 11501-2022")</f>
        <v/>
      </c>
      <c r="T140">
        <f>HYPERLINK("https://klasma.github.io/Logging_0561/kartor/A 11501-2022.png", "A 11501-2022")</f>
        <v/>
      </c>
      <c r="V140">
        <f>HYPERLINK("https://klasma.github.io/Logging_0561/klagomål/A 11501-2022.docx", "A 11501-2022")</f>
        <v/>
      </c>
      <c r="W140">
        <f>HYPERLINK("https://klasma.github.io/Logging_0561/klagomålsmail/A 11501-2022.docx", "A 11501-2022")</f>
        <v/>
      </c>
      <c r="X140">
        <f>HYPERLINK("https://klasma.github.io/Logging_0561/tillsyn/A 11501-2022.docx", "A 11501-2022")</f>
        <v/>
      </c>
      <c r="Y140">
        <f>HYPERLINK("https://klasma.github.io/Logging_0561/tillsynsmail/A 11501-2022.docx", "A 11501-2022")</f>
        <v/>
      </c>
    </row>
    <row r="141" ht="15" customHeight="1">
      <c r="A141" t="inlineStr">
        <is>
          <t>A 17520-2022</t>
        </is>
      </c>
      <c r="B141" s="1" t="n">
        <v>44679</v>
      </c>
      <c r="C141" s="1" t="n">
        <v>45211</v>
      </c>
      <c r="D141" t="inlineStr">
        <is>
          <t>ÖSTERGÖTLANDS LÄN</t>
        </is>
      </c>
      <c r="E141" t="inlineStr">
        <is>
          <t>LINKÖPING</t>
        </is>
      </c>
      <c r="F141" t="inlineStr">
        <is>
          <t>Kommuner</t>
        </is>
      </c>
      <c r="G141" t="n">
        <v>4.6</v>
      </c>
      <c r="H141" t="n">
        <v>0</v>
      </c>
      <c r="I141" t="n">
        <v>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  <c r="R141" s="2" t="inlineStr">
        <is>
          <t>Blåmossa
Trådticka</t>
        </is>
      </c>
      <c r="S141">
        <f>HYPERLINK("https://klasma.github.io/Logging_0580/artfynd/A 17520-2022.xlsx", "A 17520-2022")</f>
        <v/>
      </c>
      <c r="T141">
        <f>HYPERLINK("https://klasma.github.io/Logging_0580/kartor/A 17520-2022.png", "A 17520-2022")</f>
        <v/>
      </c>
      <c r="V141">
        <f>HYPERLINK("https://klasma.github.io/Logging_0580/klagomål/A 17520-2022.docx", "A 17520-2022")</f>
        <v/>
      </c>
      <c r="W141">
        <f>HYPERLINK("https://klasma.github.io/Logging_0580/klagomålsmail/A 17520-2022.docx", "A 17520-2022")</f>
        <v/>
      </c>
      <c r="X141">
        <f>HYPERLINK("https://klasma.github.io/Logging_0580/tillsyn/A 17520-2022.docx", "A 17520-2022")</f>
        <v/>
      </c>
      <c r="Y141">
        <f>HYPERLINK("https://klasma.github.io/Logging_0580/tillsynsmail/A 17520-2022.docx", "A 17520-2022")</f>
        <v/>
      </c>
    </row>
    <row r="142" ht="15" customHeight="1">
      <c r="A142" t="inlineStr">
        <is>
          <t>A 25498-2022</t>
        </is>
      </c>
      <c r="B142" s="1" t="n">
        <v>44732</v>
      </c>
      <c r="C142" s="1" t="n">
        <v>45211</v>
      </c>
      <c r="D142" t="inlineStr">
        <is>
          <t>ÖSTERGÖTLANDS LÄN</t>
        </is>
      </c>
      <c r="E142" t="inlineStr">
        <is>
          <t>YDRE</t>
        </is>
      </c>
      <c r="F142" t="inlineStr">
        <is>
          <t>Kyrkan</t>
        </is>
      </c>
      <c r="G142" t="n">
        <v>71.09999999999999</v>
      </c>
      <c r="H142" t="n">
        <v>0</v>
      </c>
      <c r="I142" t="n">
        <v>0</v>
      </c>
      <c r="J142" t="n">
        <v>2</v>
      </c>
      <c r="K142" t="n">
        <v>0</v>
      </c>
      <c r="L142" t="n">
        <v>0</v>
      </c>
      <c r="M142" t="n">
        <v>0</v>
      </c>
      <c r="N142" t="n">
        <v>0</v>
      </c>
      <c r="O142" t="n">
        <v>2</v>
      </c>
      <c r="P142" t="n">
        <v>0</v>
      </c>
      <c r="Q142" t="n">
        <v>2</v>
      </c>
      <c r="R142" s="2" t="inlineStr">
        <is>
          <t>Brunpudrad nållav
Garnlav</t>
        </is>
      </c>
      <c r="S142">
        <f>HYPERLINK("https://klasma.github.io/Logging_0512/artfynd/A 25498-2022.xlsx", "A 25498-2022")</f>
        <v/>
      </c>
      <c r="T142">
        <f>HYPERLINK("https://klasma.github.io/Logging_0512/kartor/A 25498-2022.png", "A 25498-2022")</f>
        <v/>
      </c>
      <c r="V142">
        <f>HYPERLINK("https://klasma.github.io/Logging_0512/klagomål/A 25498-2022.docx", "A 25498-2022")</f>
        <v/>
      </c>
      <c r="W142">
        <f>HYPERLINK("https://klasma.github.io/Logging_0512/klagomålsmail/A 25498-2022.docx", "A 25498-2022")</f>
        <v/>
      </c>
      <c r="X142">
        <f>HYPERLINK("https://klasma.github.io/Logging_0512/tillsyn/A 25498-2022.docx", "A 25498-2022")</f>
        <v/>
      </c>
      <c r="Y142">
        <f>HYPERLINK("https://klasma.github.io/Logging_0512/tillsynsmail/A 25498-2022.docx", "A 25498-2022")</f>
        <v/>
      </c>
    </row>
    <row r="143" ht="15" customHeight="1">
      <c r="A143" t="inlineStr">
        <is>
          <t>A 27981-2022</t>
        </is>
      </c>
      <c r="B143" s="1" t="n">
        <v>44745</v>
      </c>
      <c r="C143" s="1" t="n">
        <v>45211</v>
      </c>
      <c r="D143" t="inlineStr">
        <is>
          <t>ÖSTERGÖTLANDS LÄN</t>
        </is>
      </c>
      <c r="E143" t="inlineStr">
        <is>
          <t>LINKÖPING</t>
        </is>
      </c>
      <c r="G143" t="n">
        <v>8.4</v>
      </c>
      <c r="H143" t="n">
        <v>0</v>
      </c>
      <c r="I143" t="n">
        <v>0</v>
      </c>
      <c r="J143" t="n">
        <v>2</v>
      </c>
      <c r="K143" t="n">
        <v>0</v>
      </c>
      <c r="L143" t="n">
        <v>0</v>
      </c>
      <c r="M143" t="n">
        <v>0</v>
      </c>
      <c r="N143" t="n">
        <v>0</v>
      </c>
      <c r="O143" t="n">
        <v>2</v>
      </c>
      <c r="P143" t="n">
        <v>0</v>
      </c>
      <c r="Q143" t="n">
        <v>2</v>
      </c>
      <c r="R143" s="2" t="inlineStr">
        <is>
          <t>Solvända
Svinrot</t>
        </is>
      </c>
      <c r="S143">
        <f>HYPERLINK("https://klasma.github.io/Logging_0580/artfynd/A 27981-2022.xlsx", "A 27981-2022")</f>
        <v/>
      </c>
      <c r="T143">
        <f>HYPERLINK("https://klasma.github.io/Logging_0580/kartor/A 27981-2022.png", "A 27981-2022")</f>
        <v/>
      </c>
      <c r="V143">
        <f>HYPERLINK("https://klasma.github.io/Logging_0580/klagomål/A 27981-2022.docx", "A 27981-2022")</f>
        <v/>
      </c>
      <c r="W143">
        <f>HYPERLINK("https://klasma.github.io/Logging_0580/klagomålsmail/A 27981-2022.docx", "A 27981-2022")</f>
        <v/>
      </c>
      <c r="X143">
        <f>HYPERLINK("https://klasma.github.io/Logging_0580/tillsyn/A 27981-2022.docx", "A 27981-2022")</f>
        <v/>
      </c>
      <c r="Y143">
        <f>HYPERLINK("https://klasma.github.io/Logging_0580/tillsynsmail/A 27981-2022.docx", "A 27981-2022")</f>
        <v/>
      </c>
    </row>
    <row r="144" ht="15" customHeight="1">
      <c r="A144" t="inlineStr">
        <is>
          <t>A 28308-2022</t>
        </is>
      </c>
      <c r="B144" s="1" t="n">
        <v>44747</v>
      </c>
      <c r="C144" s="1" t="n">
        <v>45211</v>
      </c>
      <c r="D144" t="inlineStr">
        <is>
          <t>ÖSTERGÖTLANDS LÄN</t>
        </is>
      </c>
      <c r="E144" t="inlineStr">
        <is>
          <t>BOXHOLM</t>
        </is>
      </c>
      <c r="F144" t="inlineStr">
        <is>
          <t>Övriga Aktiebolag</t>
        </is>
      </c>
      <c r="G144" t="n">
        <v>2.9</v>
      </c>
      <c r="H144" t="n">
        <v>1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1</v>
      </c>
      <c r="P144" t="n">
        <v>1</v>
      </c>
      <c r="Q144" t="n">
        <v>2</v>
      </c>
      <c r="R144" s="2" t="inlineStr">
        <is>
          <t>Ask
Blåsippa</t>
        </is>
      </c>
      <c r="S144">
        <f>HYPERLINK("https://klasma.github.io/Logging_0560/artfynd/A 28308-2022.xlsx", "A 28308-2022")</f>
        <v/>
      </c>
      <c r="T144">
        <f>HYPERLINK("https://klasma.github.io/Logging_0560/kartor/A 28308-2022.png", "A 28308-2022")</f>
        <v/>
      </c>
      <c r="V144">
        <f>HYPERLINK("https://klasma.github.io/Logging_0560/klagomål/A 28308-2022.docx", "A 28308-2022")</f>
        <v/>
      </c>
      <c r="W144">
        <f>HYPERLINK("https://klasma.github.io/Logging_0560/klagomålsmail/A 28308-2022.docx", "A 28308-2022")</f>
        <v/>
      </c>
      <c r="X144">
        <f>HYPERLINK("https://klasma.github.io/Logging_0560/tillsyn/A 28308-2022.docx", "A 28308-2022")</f>
        <v/>
      </c>
      <c r="Y144">
        <f>HYPERLINK("https://klasma.github.io/Logging_0560/tillsynsmail/A 28308-2022.docx", "A 28308-2022")</f>
        <v/>
      </c>
    </row>
    <row r="145" ht="15" customHeight="1">
      <c r="A145" t="inlineStr">
        <is>
          <t>A 31894-2022</t>
        </is>
      </c>
      <c r="B145" s="1" t="n">
        <v>44777</v>
      </c>
      <c r="C145" s="1" t="n">
        <v>45211</v>
      </c>
      <c r="D145" t="inlineStr">
        <is>
          <t>ÖSTERGÖTLANDS LÄN</t>
        </is>
      </c>
      <c r="E145" t="inlineStr">
        <is>
          <t>FINSPÅNG</t>
        </is>
      </c>
      <c r="F145" t="inlineStr">
        <is>
          <t>Övriga Aktiebolag</t>
        </is>
      </c>
      <c r="G145" t="n">
        <v>3.7</v>
      </c>
      <c r="H145" t="n">
        <v>0</v>
      </c>
      <c r="I145" t="n">
        <v>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  <c r="R145" s="2" t="inlineStr">
        <is>
          <t>Gul vaxskivling
Småvaxskivling</t>
        </is>
      </c>
      <c r="S145">
        <f>HYPERLINK("https://klasma.github.io/Logging_0562/artfynd/A 31894-2022.xlsx", "A 31894-2022")</f>
        <v/>
      </c>
      <c r="T145">
        <f>HYPERLINK("https://klasma.github.io/Logging_0562/kartor/A 31894-2022.png", "A 31894-2022")</f>
        <v/>
      </c>
      <c r="V145">
        <f>HYPERLINK("https://klasma.github.io/Logging_0562/klagomål/A 31894-2022.docx", "A 31894-2022")</f>
        <v/>
      </c>
      <c r="W145">
        <f>HYPERLINK("https://klasma.github.io/Logging_0562/klagomålsmail/A 31894-2022.docx", "A 31894-2022")</f>
        <v/>
      </c>
      <c r="X145">
        <f>HYPERLINK("https://klasma.github.io/Logging_0562/tillsyn/A 31894-2022.docx", "A 31894-2022")</f>
        <v/>
      </c>
      <c r="Y145">
        <f>HYPERLINK("https://klasma.github.io/Logging_0562/tillsynsmail/A 31894-2022.docx", "A 31894-2022")</f>
        <v/>
      </c>
    </row>
    <row r="146" ht="15" customHeight="1">
      <c r="A146" t="inlineStr">
        <is>
          <t>A 32026-2022</t>
        </is>
      </c>
      <c r="B146" s="1" t="n">
        <v>44778</v>
      </c>
      <c r="C146" s="1" t="n">
        <v>45211</v>
      </c>
      <c r="D146" t="inlineStr">
        <is>
          <t>ÖSTERGÖTLANDS LÄN</t>
        </is>
      </c>
      <c r="E146" t="inlineStr">
        <is>
          <t>FINSPÅNG</t>
        </is>
      </c>
      <c r="F146" t="inlineStr">
        <is>
          <t>Holmen skog AB</t>
        </is>
      </c>
      <c r="G146" t="n">
        <v>3.5</v>
      </c>
      <c r="H146" t="n">
        <v>0</v>
      </c>
      <c r="I146" t="n">
        <v>0</v>
      </c>
      <c r="J146" t="n">
        <v>2</v>
      </c>
      <c r="K146" t="n">
        <v>0</v>
      </c>
      <c r="L146" t="n">
        <v>0</v>
      </c>
      <c r="M146" t="n">
        <v>0</v>
      </c>
      <c r="N146" t="n">
        <v>0</v>
      </c>
      <c r="O146" t="n">
        <v>2</v>
      </c>
      <c r="P146" t="n">
        <v>0</v>
      </c>
      <c r="Q146" t="n">
        <v>2</v>
      </c>
      <c r="R146" s="2" t="inlineStr">
        <is>
          <t>Kådvaxskinn
Ullticka</t>
        </is>
      </c>
      <c r="S146">
        <f>HYPERLINK("https://klasma.github.io/Logging_0562/artfynd/A 32026-2022.xlsx", "A 32026-2022")</f>
        <v/>
      </c>
      <c r="T146">
        <f>HYPERLINK("https://klasma.github.io/Logging_0562/kartor/A 32026-2022.png", "A 32026-2022")</f>
        <v/>
      </c>
      <c r="V146">
        <f>HYPERLINK("https://klasma.github.io/Logging_0562/klagomål/A 32026-2022.docx", "A 32026-2022")</f>
        <v/>
      </c>
      <c r="W146">
        <f>HYPERLINK("https://klasma.github.io/Logging_0562/klagomålsmail/A 32026-2022.docx", "A 32026-2022")</f>
        <v/>
      </c>
      <c r="X146">
        <f>HYPERLINK("https://klasma.github.io/Logging_0562/tillsyn/A 32026-2022.docx", "A 32026-2022")</f>
        <v/>
      </c>
      <c r="Y146">
        <f>HYPERLINK("https://klasma.github.io/Logging_0562/tillsynsmail/A 32026-2022.docx", "A 32026-2022")</f>
        <v/>
      </c>
    </row>
    <row r="147" ht="15" customHeight="1">
      <c r="A147" t="inlineStr">
        <is>
          <t>A 33659-2022</t>
        </is>
      </c>
      <c r="B147" s="1" t="n">
        <v>44789</v>
      </c>
      <c r="C147" s="1" t="n">
        <v>45211</v>
      </c>
      <c r="D147" t="inlineStr">
        <is>
          <t>ÖSTERGÖTLANDS LÄN</t>
        </is>
      </c>
      <c r="E147" t="inlineStr">
        <is>
          <t>NORRKÖPING</t>
        </is>
      </c>
      <c r="F147" t="inlineStr">
        <is>
          <t>Kommuner</t>
        </is>
      </c>
      <c r="G147" t="n">
        <v>3.4</v>
      </c>
      <c r="H147" t="n">
        <v>0</v>
      </c>
      <c r="I147" t="n">
        <v>1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n">
        <v>1</v>
      </c>
      <c r="Q147" t="n">
        <v>2</v>
      </c>
      <c r="R147" s="2" t="inlineStr">
        <is>
          <t>Ask
Sotlav</t>
        </is>
      </c>
      <c r="S147">
        <f>HYPERLINK("https://klasma.github.io/Logging_0581/artfynd/A 33659-2022.xlsx", "A 33659-2022")</f>
        <v/>
      </c>
      <c r="T147">
        <f>HYPERLINK("https://klasma.github.io/Logging_0581/kartor/A 33659-2022.png", "A 33659-2022")</f>
        <v/>
      </c>
      <c r="V147">
        <f>HYPERLINK("https://klasma.github.io/Logging_0581/klagomål/A 33659-2022.docx", "A 33659-2022")</f>
        <v/>
      </c>
      <c r="W147">
        <f>HYPERLINK("https://klasma.github.io/Logging_0581/klagomålsmail/A 33659-2022.docx", "A 33659-2022")</f>
        <v/>
      </c>
      <c r="X147">
        <f>HYPERLINK("https://klasma.github.io/Logging_0581/tillsyn/A 33659-2022.docx", "A 33659-2022")</f>
        <v/>
      </c>
      <c r="Y147">
        <f>HYPERLINK("https://klasma.github.io/Logging_0581/tillsynsmail/A 33659-2022.docx", "A 33659-2022")</f>
        <v/>
      </c>
    </row>
    <row r="148" ht="15" customHeight="1">
      <c r="A148" t="inlineStr">
        <is>
          <t>A 53205-2022</t>
        </is>
      </c>
      <c r="B148" s="1" t="n">
        <v>44874</v>
      </c>
      <c r="C148" s="1" t="n">
        <v>45211</v>
      </c>
      <c r="D148" t="inlineStr">
        <is>
          <t>ÖSTERGÖTLANDS LÄN</t>
        </is>
      </c>
      <c r="E148" t="inlineStr">
        <is>
          <t>ÅTVIDABERG</t>
        </is>
      </c>
      <c r="F148" t="inlineStr">
        <is>
          <t>Övriga Aktiebolag</t>
        </is>
      </c>
      <c r="G148" t="n">
        <v>12.8</v>
      </c>
      <c r="H148" t="n">
        <v>1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2</v>
      </c>
      <c r="R148" s="2" t="inlineStr">
        <is>
          <t>Havsörn
Skogsbräsma</t>
        </is>
      </c>
      <c r="S148">
        <f>HYPERLINK("https://klasma.github.io/Logging_0561/artfynd/A 53205-2022.xlsx", "A 53205-2022")</f>
        <v/>
      </c>
      <c r="T148">
        <f>HYPERLINK("https://klasma.github.io/Logging_0561/kartor/A 53205-2022.png", "A 53205-2022")</f>
        <v/>
      </c>
      <c r="V148">
        <f>HYPERLINK("https://klasma.github.io/Logging_0561/klagomål/A 53205-2022.docx", "A 53205-2022")</f>
        <v/>
      </c>
      <c r="W148">
        <f>HYPERLINK("https://klasma.github.io/Logging_0561/klagomålsmail/A 53205-2022.docx", "A 53205-2022")</f>
        <v/>
      </c>
      <c r="X148">
        <f>HYPERLINK("https://klasma.github.io/Logging_0561/tillsyn/A 53205-2022.docx", "A 53205-2022")</f>
        <v/>
      </c>
      <c r="Y148">
        <f>HYPERLINK("https://klasma.github.io/Logging_0561/tillsynsmail/A 53205-2022.docx", "A 53205-2022")</f>
        <v/>
      </c>
    </row>
    <row r="149" ht="15" customHeight="1">
      <c r="A149" t="inlineStr">
        <is>
          <t>A 61358-2022</t>
        </is>
      </c>
      <c r="B149" s="1" t="n">
        <v>44915</v>
      </c>
      <c r="C149" s="1" t="n">
        <v>45211</v>
      </c>
      <c r="D149" t="inlineStr">
        <is>
          <t>ÖSTERGÖTLANDS LÄN</t>
        </is>
      </c>
      <c r="E149" t="inlineStr">
        <is>
          <t>VALDEMARSVIK</t>
        </is>
      </c>
      <c r="G149" t="n">
        <v>9.300000000000001</v>
      </c>
      <c r="H149" t="n">
        <v>1</v>
      </c>
      <c r="I149" t="n">
        <v>1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1</v>
      </c>
      <c r="P149" t="n">
        <v>1</v>
      </c>
      <c r="Q149" t="n">
        <v>2</v>
      </c>
      <c r="R149" s="2" t="inlineStr">
        <is>
          <t>Knärot
Grönpyrola</t>
        </is>
      </c>
      <c r="S149">
        <f>HYPERLINK("https://klasma.github.io/Logging_0563/artfynd/A 61358-2022.xlsx", "A 61358-2022")</f>
        <v/>
      </c>
      <c r="T149">
        <f>HYPERLINK("https://klasma.github.io/Logging_0563/kartor/A 61358-2022.png", "A 61358-2022")</f>
        <v/>
      </c>
      <c r="U149">
        <f>HYPERLINK("https://klasma.github.io/Logging_0563/knärot/A 61358-2022.png", "A 61358-2022")</f>
        <v/>
      </c>
      <c r="V149">
        <f>HYPERLINK("https://klasma.github.io/Logging_0563/klagomål/A 61358-2022.docx", "A 61358-2022")</f>
        <v/>
      </c>
      <c r="W149">
        <f>HYPERLINK("https://klasma.github.io/Logging_0563/klagomålsmail/A 61358-2022.docx", "A 61358-2022")</f>
        <v/>
      </c>
      <c r="X149">
        <f>HYPERLINK("https://klasma.github.io/Logging_0563/tillsyn/A 61358-2022.docx", "A 61358-2022")</f>
        <v/>
      </c>
      <c r="Y149">
        <f>HYPERLINK("https://klasma.github.io/Logging_0563/tillsynsmail/A 61358-2022.docx", "A 61358-2022")</f>
        <v/>
      </c>
    </row>
    <row r="150" ht="15" customHeight="1">
      <c r="A150" t="inlineStr">
        <is>
          <t>A 1083-2023</t>
        </is>
      </c>
      <c r="B150" s="1" t="n">
        <v>44935</v>
      </c>
      <c r="C150" s="1" t="n">
        <v>45211</v>
      </c>
      <c r="D150" t="inlineStr">
        <is>
          <t>ÖSTERGÖTLANDS LÄN</t>
        </is>
      </c>
      <c r="E150" t="inlineStr">
        <is>
          <t>NORRKÖPING</t>
        </is>
      </c>
      <c r="G150" t="n">
        <v>1.9</v>
      </c>
      <c r="H150" t="n">
        <v>1</v>
      </c>
      <c r="I150" t="n">
        <v>1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1</v>
      </c>
      <c r="P150" t="n">
        <v>1</v>
      </c>
      <c r="Q150" t="n">
        <v>2</v>
      </c>
      <c r="R150" s="2" t="inlineStr">
        <is>
          <t>Knärot
Grönpyrola</t>
        </is>
      </c>
      <c r="S150">
        <f>HYPERLINK("https://klasma.github.io/Logging_0581/artfynd/A 1083-2023.xlsx", "A 1083-2023")</f>
        <v/>
      </c>
      <c r="T150">
        <f>HYPERLINK("https://klasma.github.io/Logging_0581/kartor/A 1083-2023.png", "A 1083-2023")</f>
        <v/>
      </c>
      <c r="U150">
        <f>HYPERLINK("https://klasma.github.io/Logging_0581/knärot/A 1083-2023.png", "A 1083-2023")</f>
        <v/>
      </c>
      <c r="V150">
        <f>HYPERLINK("https://klasma.github.io/Logging_0581/klagomål/A 1083-2023.docx", "A 1083-2023")</f>
        <v/>
      </c>
      <c r="W150">
        <f>HYPERLINK("https://klasma.github.io/Logging_0581/klagomålsmail/A 1083-2023.docx", "A 1083-2023")</f>
        <v/>
      </c>
      <c r="X150">
        <f>HYPERLINK("https://klasma.github.io/Logging_0581/tillsyn/A 1083-2023.docx", "A 1083-2023")</f>
        <v/>
      </c>
      <c r="Y150">
        <f>HYPERLINK("https://klasma.github.io/Logging_0581/tillsynsmail/A 1083-2023.docx", "A 1083-2023")</f>
        <v/>
      </c>
    </row>
    <row r="151" ht="15" customHeight="1">
      <c r="A151" t="inlineStr">
        <is>
          <t>A 3721-2023</t>
        </is>
      </c>
      <c r="B151" s="1" t="n">
        <v>44951</v>
      </c>
      <c r="C151" s="1" t="n">
        <v>45211</v>
      </c>
      <c r="D151" t="inlineStr">
        <is>
          <t>ÖSTERGÖTLANDS LÄN</t>
        </is>
      </c>
      <c r="E151" t="inlineStr">
        <is>
          <t>MOTALA</t>
        </is>
      </c>
      <c r="F151" t="inlineStr">
        <is>
          <t>Kommuner</t>
        </is>
      </c>
      <c r="G151" t="n">
        <v>4.7</v>
      </c>
      <c r="H151" t="n">
        <v>0</v>
      </c>
      <c r="I151" t="n">
        <v>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</v>
      </c>
      <c r="R151" s="2" t="inlineStr">
        <is>
          <t>Flagellkvastmossa
Kornknutmossa</t>
        </is>
      </c>
      <c r="S151">
        <f>HYPERLINK("https://klasma.github.io/Logging_0583/artfynd/A 3721-2023.xlsx", "A 3721-2023")</f>
        <v/>
      </c>
      <c r="T151">
        <f>HYPERLINK("https://klasma.github.io/Logging_0583/kartor/A 3721-2023.png", "A 3721-2023")</f>
        <v/>
      </c>
      <c r="U151">
        <f>HYPERLINK("https://klasma.github.io/Logging_0583/knärot/A 3721-2023.png", "A 3721-2023")</f>
        <v/>
      </c>
      <c r="V151">
        <f>HYPERLINK("https://klasma.github.io/Logging_0583/klagomål/A 3721-2023.docx", "A 3721-2023")</f>
        <v/>
      </c>
      <c r="W151">
        <f>HYPERLINK("https://klasma.github.io/Logging_0583/klagomålsmail/A 3721-2023.docx", "A 3721-2023")</f>
        <v/>
      </c>
      <c r="X151">
        <f>HYPERLINK("https://klasma.github.io/Logging_0583/tillsyn/A 3721-2023.docx", "A 3721-2023")</f>
        <v/>
      </c>
      <c r="Y151">
        <f>HYPERLINK("https://klasma.github.io/Logging_0583/tillsynsmail/A 3721-2023.docx", "A 3721-2023")</f>
        <v/>
      </c>
    </row>
    <row r="152" ht="15" customHeight="1">
      <c r="A152" t="inlineStr">
        <is>
          <t>A 4512-2023</t>
        </is>
      </c>
      <c r="B152" s="1" t="n">
        <v>44956</v>
      </c>
      <c r="C152" s="1" t="n">
        <v>45211</v>
      </c>
      <c r="D152" t="inlineStr">
        <is>
          <t>ÖSTERGÖTLANDS LÄN</t>
        </is>
      </c>
      <c r="E152" t="inlineStr">
        <is>
          <t>MOTALA</t>
        </is>
      </c>
      <c r="F152" t="inlineStr">
        <is>
          <t>Kommuner</t>
        </is>
      </c>
      <c r="G152" t="n">
        <v>4.3</v>
      </c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2</v>
      </c>
      <c r="R152" s="2" t="inlineStr">
        <is>
          <t>Svart trolldruva
Blåsippa</t>
        </is>
      </c>
      <c r="S152">
        <f>HYPERLINK("https://klasma.github.io/Logging_0583/artfynd/A 4512-2023.xlsx", "A 4512-2023")</f>
        <v/>
      </c>
      <c r="T152">
        <f>HYPERLINK("https://klasma.github.io/Logging_0583/kartor/A 4512-2023.png", "A 4512-2023")</f>
        <v/>
      </c>
      <c r="V152">
        <f>HYPERLINK("https://klasma.github.io/Logging_0583/klagomål/A 4512-2023.docx", "A 4512-2023")</f>
        <v/>
      </c>
      <c r="W152">
        <f>HYPERLINK("https://klasma.github.io/Logging_0583/klagomålsmail/A 4512-2023.docx", "A 4512-2023")</f>
        <v/>
      </c>
      <c r="X152">
        <f>HYPERLINK("https://klasma.github.io/Logging_0583/tillsyn/A 4512-2023.docx", "A 4512-2023")</f>
        <v/>
      </c>
      <c r="Y152">
        <f>HYPERLINK("https://klasma.github.io/Logging_0583/tillsynsmail/A 4512-2023.docx", "A 4512-2023")</f>
        <v/>
      </c>
    </row>
    <row r="153" ht="15" customHeight="1">
      <c r="A153" t="inlineStr">
        <is>
          <t>A 7211-2023</t>
        </is>
      </c>
      <c r="B153" s="1" t="n">
        <v>44970</v>
      </c>
      <c r="C153" s="1" t="n">
        <v>45211</v>
      </c>
      <c r="D153" t="inlineStr">
        <is>
          <t>ÖSTERGÖTLANDS LÄN</t>
        </is>
      </c>
      <c r="E153" t="inlineStr">
        <is>
          <t>NORRKÖPING</t>
        </is>
      </c>
      <c r="F153" t="inlineStr">
        <is>
          <t>Holmen skog AB</t>
        </is>
      </c>
      <c r="G153" t="n">
        <v>6.6</v>
      </c>
      <c r="H153" t="n">
        <v>0</v>
      </c>
      <c r="I153" t="n">
        <v>0</v>
      </c>
      <c r="J153" t="n">
        <v>2</v>
      </c>
      <c r="K153" t="n">
        <v>0</v>
      </c>
      <c r="L153" t="n">
        <v>0</v>
      </c>
      <c r="M153" t="n">
        <v>0</v>
      </c>
      <c r="N153" t="n">
        <v>0</v>
      </c>
      <c r="O153" t="n">
        <v>2</v>
      </c>
      <c r="P153" t="n">
        <v>0</v>
      </c>
      <c r="Q153" t="n">
        <v>2</v>
      </c>
      <c r="R153" s="2" t="inlineStr">
        <is>
          <t>Gullklöver
Skogsklocka</t>
        </is>
      </c>
      <c r="S153">
        <f>HYPERLINK("https://klasma.github.io/Logging_0581/artfynd/A 7211-2023.xlsx", "A 7211-2023")</f>
        <v/>
      </c>
      <c r="T153">
        <f>HYPERLINK("https://klasma.github.io/Logging_0581/kartor/A 7211-2023.png", "A 7211-2023")</f>
        <v/>
      </c>
      <c r="V153">
        <f>HYPERLINK("https://klasma.github.io/Logging_0581/klagomål/A 7211-2023.docx", "A 7211-2023")</f>
        <v/>
      </c>
      <c r="W153">
        <f>HYPERLINK("https://klasma.github.io/Logging_0581/klagomålsmail/A 7211-2023.docx", "A 7211-2023")</f>
        <v/>
      </c>
      <c r="X153">
        <f>HYPERLINK("https://klasma.github.io/Logging_0581/tillsyn/A 7211-2023.docx", "A 7211-2023")</f>
        <v/>
      </c>
      <c r="Y153">
        <f>HYPERLINK("https://klasma.github.io/Logging_0581/tillsynsmail/A 7211-2023.docx", "A 7211-2023")</f>
        <v/>
      </c>
    </row>
    <row r="154" ht="15" customHeight="1">
      <c r="A154" t="inlineStr">
        <is>
          <t>A 7879-2023</t>
        </is>
      </c>
      <c r="B154" s="1" t="n">
        <v>44973</v>
      </c>
      <c r="C154" s="1" t="n">
        <v>45211</v>
      </c>
      <c r="D154" t="inlineStr">
        <is>
          <t>ÖSTERGÖTLANDS LÄN</t>
        </is>
      </c>
      <c r="E154" t="inlineStr">
        <is>
          <t>SÖDERKÖPING</t>
        </is>
      </c>
      <c r="G154" t="n">
        <v>2.4</v>
      </c>
      <c r="H154" t="n">
        <v>0</v>
      </c>
      <c r="I154" t="n">
        <v>0</v>
      </c>
      <c r="J154" t="n">
        <v>1</v>
      </c>
      <c r="K154" t="n">
        <v>0</v>
      </c>
      <c r="L154" t="n">
        <v>1</v>
      </c>
      <c r="M154" t="n">
        <v>0</v>
      </c>
      <c r="N154" t="n">
        <v>0</v>
      </c>
      <c r="O154" t="n">
        <v>2</v>
      </c>
      <c r="P154" t="n">
        <v>1</v>
      </c>
      <c r="Q154" t="n">
        <v>2</v>
      </c>
      <c r="R154" s="2" t="inlineStr">
        <is>
          <t>Ask
Korskovall</t>
        </is>
      </c>
      <c r="S154">
        <f>HYPERLINK("https://klasma.github.io/Logging_0582/artfynd/A 7879-2023.xlsx", "A 7879-2023")</f>
        <v/>
      </c>
      <c r="T154">
        <f>HYPERLINK("https://klasma.github.io/Logging_0582/kartor/A 7879-2023.png", "A 7879-2023")</f>
        <v/>
      </c>
      <c r="V154">
        <f>HYPERLINK("https://klasma.github.io/Logging_0582/klagomål/A 7879-2023.docx", "A 7879-2023")</f>
        <v/>
      </c>
      <c r="W154">
        <f>HYPERLINK("https://klasma.github.io/Logging_0582/klagomålsmail/A 7879-2023.docx", "A 7879-2023")</f>
        <v/>
      </c>
      <c r="X154">
        <f>HYPERLINK("https://klasma.github.io/Logging_0582/tillsyn/A 7879-2023.docx", "A 7879-2023")</f>
        <v/>
      </c>
      <c r="Y154">
        <f>HYPERLINK("https://klasma.github.io/Logging_0582/tillsynsmail/A 7879-2023.docx", "A 7879-2023")</f>
        <v/>
      </c>
    </row>
    <row r="155" ht="15" customHeight="1">
      <c r="A155" t="inlineStr">
        <is>
          <t>A 11362-2023</t>
        </is>
      </c>
      <c r="B155" s="1" t="n">
        <v>44993</v>
      </c>
      <c r="C155" s="1" t="n">
        <v>45211</v>
      </c>
      <c r="D155" t="inlineStr">
        <is>
          <t>ÖSTERGÖTLANDS LÄN</t>
        </is>
      </c>
      <c r="E155" t="inlineStr">
        <is>
          <t>LINKÖPING</t>
        </is>
      </c>
      <c r="G155" t="n">
        <v>1.4</v>
      </c>
      <c r="H155" t="n">
        <v>0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2</v>
      </c>
      <c r="P155" t="n">
        <v>1</v>
      </c>
      <c r="Q155" t="n">
        <v>2</v>
      </c>
      <c r="R155" s="2" t="inlineStr">
        <is>
          <t>Gulbrunt nejlikfly
Glimfältmätare</t>
        </is>
      </c>
      <c r="S155">
        <f>HYPERLINK("https://klasma.github.io/Logging_0580/artfynd/A 11362-2023.xlsx", "A 11362-2023")</f>
        <v/>
      </c>
      <c r="T155">
        <f>HYPERLINK("https://klasma.github.io/Logging_0580/kartor/A 11362-2023.png", "A 11362-2023")</f>
        <v/>
      </c>
      <c r="V155">
        <f>HYPERLINK("https://klasma.github.io/Logging_0580/klagomål/A 11362-2023.docx", "A 11362-2023")</f>
        <v/>
      </c>
      <c r="W155">
        <f>HYPERLINK("https://klasma.github.io/Logging_0580/klagomålsmail/A 11362-2023.docx", "A 11362-2023")</f>
        <v/>
      </c>
      <c r="X155">
        <f>HYPERLINK("https://klasma.github.io/Logging_0580/tillsyn/A 11362-2023.docx", "A 11362-2023")</f>
        <v/>
      </c>
      <c r="Y155">
        <f>HYPERLINK("https://klasma.github.io/Logging_0580/tillsynsmail/A 11362-2023.docx", "A 11362-2023")</f>
        <v/>
      </c>
    </row>
    <row r="156" ht="15" customHeight="1">
      <c r="A156" t="inlineStr">
        <is>
          <t>A 18075-2023</t>
        </is>
      </c>
      <c r="B156" s="1" t="n">
        <v>45040</v>
      </c>
      <c r="C156" s="1" t="n">
        <v>45211</v>
      </c>
      <c r="D156" t="inlineStr">
        <is>
          <t>ÖSTERGÖTLANDS LÄN</t>
        </is>
      </c>
      <c r="E156" t="inlineStr">
        <is>
          <t>FINSPÅNG</t>
        </is>
      </c>
      <c r="F156" t="inlineStr">
        <is>
          <t>Holmen skog AB</t>
        </is>
      </c>
      <c r="G156" t="n">
        <v>15.2</v>
      </c>
      <c r="H156" t="n">
        <v>0</v>
      </c>
      <c r="I156" t="n">
        <v>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s="2" t="inlineStr">
        <is>
          <t>Bårdlav
Dvärgtufs</t>
        </is>
      </c>
      <c r="S156">
        <f>HYPERLINK("https://klasma.github.io/Logging_0562/artfynd/A 18075-2023.xlsx", "A 18075-2023")</f>
        <v/>
      </c>
      <c r="T156">
        <f>HYPERLINK("https://klasma.github.io/Logging_0562/kartor/A 18075-2023.png", "A 18075-2023")</f>
        <v/>
      </c>
      <c r="V156">
        <f>HYPERLINK("https://klasma.github.io/Logging_0562/klagomål/A 18075-2023.docx", "A 18075-2023")</f>
        <v/>
      </c>
      <c r="W156">
        <f>HYPERLINK("https://klasma.github.io/Logging_0562/klagomålsmail/A 18075-2023.docx", "A 18075-2023")</f>
        <v/>
      </c>
      <c r="X156">
        <f>HYPERLINK("https://klasma.github.io/Logging_0562/tillsyn/A 18075-2023.docx", "A 18075-2023")</f>
        <v/>
      </c>
      <c r="Y156">
        <f>HYPERLINK("https://klasma.github.io/Logging_0562/tillsynsmail/A 18075-2023.docx", "A 18075-2023")</f>
        <v/>
      </c>
    </row>
    <row r="157" ht="15" customHeight="1">
      <c r="A157" t="inlineStr">
        <is>
          <t>A 18491-2023</t>
        </is>
      </c>
      <c r="B157" s="1" t="n">
        <v>45042</v>
      </c>
      <c r="C157" s="1" t="n">
        <v>45211</v>
      </c>
      <c r="D157" t="inlineStr">
        <is>
          <t>ÖSTERGÖTLANDS LÄN</t>
        </is>
      </c>
      <c r="E157" t="inlineStr">
        <is>
          <t>NORRKÖPING</t>
        </is>
      </c>
      <c r="F157" t="inlineStr">
        <is>
          <t>Holmen skog AB</t>
        </is>
      </c>
      <c r="G157" t="n">
        <v>7</v>
      </c>
      <c r="H157" t="n">
        <v>1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2</v>
      </c>
      <c r="R157" s="2" t="inlineStr">
        <is>
          <t>Järpe
Tibast</t>
        </is>
      </c>
      <c r="S157">
        <f>HYPERLINK("https://klasma.github.io/Logging_0581/artfynd/A 18491-2023.xlsx", "A 18491-2023")</f>
        <v/>
      </c>
      <c r="T157">
        <f>HYPERLINK("https://klasma.github.io/Logging_0581/kartor/A 18491-2023.png", "A 18491-2023")</f>
        <v/>
      </c>
      <c r="V157">
        <f>HYPERLINK("https://klasma.github.io/Logging_0581/klagomål/A 18491-2023.docx", "A 18491-2023")</f>
        <v/>
      </c>
      <c r="W157">
        <f>HYPERLINK("https://klasma.github.io/Logging_0581/klagomålsmail/A 18491-2023.docx", "A 18491-2023")</f>
        <v/>
      </c>
      <c r="X157">
        <f>HYPERLINK("https://klasma.github.io/Logging_0581/tillsyn/A 18491-2023.docx", "A 18491-2023")</f>
        <v/>
      </c>
      <c r="Y157">
        <f>HYPERLINK("https://klasma.github.io/Logging_0581/tillsynsmail/A 18491-2023.docx", "A 18491-2023")</f>
        <v/>
      </c>
    </row>
    <row r="158" ht="15" customHeight="1">
      <c r="A158" t="inlineStr">
        <is>
          <t>A 18894-2023</t>
        </is>
      </c>
      <c r="B158" s="1" t="n">
        <v>45044</v>
      </c>
      <c r="C158" s="1" t="n">
        <v>45211</v>
      </c>
      <c r="D158" t="inlineStr">
        <is>
          <t>ÖSTERGÖTLANDS LÄN</t>
        </is>
      </c>
      <c r="E158" t="inlineStr">
        <is>
          <t>MOTALA</t>
        </is>
      </c>
      <c r="G158" t="n">
        <v>2.3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0</v>
      </c>
      <c r="O158" t="n">
        <v>2</v>
      </c>
      <c r="P158" t="n">
        <v>2</v>
      </c>
      <c r="Q158" t="n">
        <v>2</v>
      </c>
      <c r="R158" s="2" t="inlineStr">
        <is>
          <t>Skogsalm
Ask</t>
        </is>
      </c>
      <c r="S158">
        <f>HYPERLINK("https://klasma.github.io/Logging_0583/artfynd/A 18894-2023.xlsx", "A 18894-2023")</f>
        <v/>
      </c>
      <c r="T158">
        <f>HYPERLINK("https://klasma.github.io/Logging_0583/kartor/A 18894-2023.png", "A 18894-2023")</f>
        <v/>
      </c>
      <c r="V158">
        <f>HYPERLINK("https://klasma.github.io/Logging_0583/klagomål/A 18894-2023.docx", "A 18894-2023")</f>
        <v/>
      </c>
      <c r="W158">
        <f>HYPERLINK("https://klasma.github.io/Logging_0583/klagomålsmail/A 18894-2023.docx", "A 18894-2023")</f>
        <v/>
      </c>
      <c r="X158">
        <f>HYPERLINK("https://klasma.github.io/Logging_0583/tillsyn/A 18894-2023.docx", "A 18894-2023")</f>
        <v/>
      </c>
      <c r="Y158">
        <f>HYPERLINK("https://klasma.github.io/Logging_0583/tillsynsmail/A 18894-2023.docx", "A 18894-2023")</f>
        <v/>
      </c>
    </row>
    <row r="159" ht="15" customHeight="1">
      <c r="A159" t="inlineStr">
        <is>
          <t>A 26888-2023</t>
        </is>
      </c>
      <c r="B159" s="1" t="n">
        <v>45093</v>
      </c>
      <c r="C159" s="1" t="n">
        <v>45211</v>
      </c>
      <c r="D159" t="inlineStr">
        <is>
          <t>ÖSTERGÖTLANDS LÄN</t>
        </is>
      </c>
      <c r="E159" t="inlineStr">
        <is>
          <t>FINSPÅNG</t>
        </is>
      </c>
      <c r="F159" t="inlineStr">
        <is>
          <t>Holmen skog AB</t>
        </is>
      </c>
      <c r="G159" t="n">
        <v>2.9</v>
      </c>
      <c r="H159" t="n">
        <v>1</v>
      </c>
      <c r="I159" t="n">
        <v>0</v>
      </c>
      <c r="J159" t="n">
        <v>2</v>
      </c>
      <c r="K159" t="n">
        <v>0</v>
      </c>
      <c r="L159" t="n">
        <v>0</v>
      </c>
      <c r="M159" t="n">
        <v>0</v>
      </c>
      <c r="N159" t="n">
        <v>0</v>
      </c>
      <c r="O159" t="n">
        <v>2</v>
      </c>
      <c r="P159" t="n">
        <v>0</v>
      </c>
      <c r="Q159" t="n">
        <v>2</v>
      </c>
      <c r="R159" s="2" t="inlineStr">
        <is>
          <t>Motaggsvamp
Ärtsångare</t>
        </is>
      </c>
      <c r="S159">
        <f>HYPERLINK("https://klasma.github.io/Logging_0562/artfynd/A 26888-2023.xlsx", "A 26888-2023")</f>
        <v/>
      </c>
      <c r="T159">
        <f>HYPERLINK("https://klasma.github.io/Logging_0562/kartor/A 26888-2023.png", "A 26888-2023")</f>
        <v/>
      </c>
      <c r="V159">
        <f>HYPERLINK("https://klasma.github.io/Logging_0562/klagomål/A 26888-2023.docx", "A 26888-2023")</f>
        <v/>
      </c>
      <c r="W159">
        <f>HYPERLINK("https://klasma.github.io/Logging_0562/klagomålsmail/A 26888-2023.docx", "A 26888-2023")</f>
        <v/>
      </c>
      <c r="X159">
        <f>HYPERLINK("https://klasma.github.io/Logging_0562/tillsyn/A 26888-2023.docx", "A 26888-2023")</f>
        <v/>
      </c>
      <c r="Y159">
        <f>HYPERLINK("https://klasma.github.io/Logging_0562/tillsynsmail/A 26888-2023.docx", "A 26888-2023")</f>
        <v/>
      </c>
    </row>
    <row r="160" ht="15" customHeight="1">
      <c r="A160" t="inlineStr">
        <is>
          <t>A 33570-2023</t>
        </is>
      </c>
      <c r="B160" s="1" t="n">
        <v>45131</v>
      </c>
      <c r="C160" s="1" t="n">
        <v>45211</v>
      </c>
      <c r="D160" t="inlineStr">
        <is>
          <t>ÖSTERGÖTLANDS LÄN</t>
        </is>
      </c>
      <c r="E160" t="inlineStr">
        <is>
          <t>ÅTVIDABERG</t>
        </is>
      </c>
      <c r="G160" t="n">
        <v>10.6</v>
      </c>
      <c r="H160" t="n">
        <v>1</v>
      </c>
      <c r="I160" t="n">
        <v>0</v>
      </c>
      <c r="J160" t="n">
        <v>0</v>
      </c>
      <c r="K160" t="n">
        <v>2</v>
      </c>
      <c r="L160" t="n">
        <v>0</v>
      </c>
      <c r="M160" t="n">
        <v>0</v>
      </c>
      <c r="N160" t="n">
        <v>0</v>
      </c>
      <c r="O160" t="n">
        <v>2</v>
      </c>
      <c r="P160" t="n">
        <v>2</v>
      </c>
      <c r="Q160" t="n">
        <v>2</v>
      </c>
      <c r="R160" s="2" t="inlineStr">
        <is>
          <t>Hypebaeus flavipes
Läderbagge</t>
        </is>
      </c>
      <c r="S160">
        <f>HYPERLINK("https://klasma.github.io/Logging_0561/artfynd/A 33570-2023.xlsx", "A 33570-2023")</f>
        <v/>
      </c>
      <c r="T160">
        <f>HYPERLINK("https://klasma.github.io/Logging_0561/kartor/A 33570-2023.png", "A 33570-2023")</f>
        <v/>
      </c>
      <c r="V160">
        <f>HYPERLINK("https://klasma.github.io/Logging_0561/klagomål/A 33570-2023.docx", "A 33570-2023")</f>
        <v/>
      </c>
      <c r="W160">
        <f>HYPERLINK("https://klasma.github.io/Logging_0561/klagomålsmail/A 33570-2023.docx", "A 33570-2023")</f>
        <v/>
      </c>
      <c r="X160">
        <f>HYPERLINK("https://klasma.github.io/Logging_0561/tillsyn/A 33570-2023.docx", "A 33570-2023")</f>
        <v/>
      </c>
      <c r="Y160">
        <f>HYPERLINK("https://klasma.github.io/Logging_0561/tillsynsmail/A 33570-2023.docx", "A 33570-2023")</f>
        <v/>
      </c>
    </row>
    <row r="161" ht="15" customHeight="1">
      <c r="A161" t="inlineStr">
        <is>
          <t>A 34179-2023</t>
        </is>
      </c>
      <c r="B161" s="1" t="n">
        <v>45138</v>
      </c>
      <c r="C161" s="1" t="n">
        <v>45211</v>
      </c>
      <c r="D161" t="inlineStr">
        <is>
          <t>ÖSTERGÖTLANDS LÄN</t>
        </is>
      </c>
      <c r="E161" t="inlineStr">
        <is>
          <t>YDRE</t>
        </is>
      </c>
      <c r="G161" t="n">
        <v>4.7</v>
      </c>
      <c r="H161" t="n">
        <v>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2</v>
      </c>
      <c r="R161" s="2" t="inlineStr">
        <is>
          <t>Mattlummer
Revlummer</t>
        </is>
      </c>
      <c r="S161">
        <f>HYPERLINK("https://klasma.github.io/Logging_0512/artfynd/A 34179-2023.xlsx", "A 34179-2023")</f>
        <v/>
      </c>
      <c r="T161">
        <f>HYPERLINK("https://klasma.github.io/Logging_0512/kartor/A 34179-2023.png", "A 34179-2023")</f>
        <v/>
      </c>
      <c r="V161">
        <f>HYPERLINK("https://klasma.github.io/Logging_0512/klagomål/A 34179-2023.docx", "A 34179-2023")</f>
        <v/>
      </c>
      <c r="W161">
        <f>HYPERLINK("https://klasma.github.io/Logging_0512/klagomålsmail/A 34179-2023.docx", "A 34179-2023")</f>
        <v/>
      </c>
      <c r="X161">
        <f>HYPERLINK("https://klasma.github.io/Logging_0512/tillsyn/A 34179-2023.docx", "A 34179-2023")</f>
        <v/>
      </c>
      <c r="Y161">
        <f>HYPERLINK("https://klasma.github.io/Logging_0512/tillsynsmail/A 34179-2023.docx", "A 34179-2023")</f>
        <v/>
      </c>
    </row>
    <row r="162" ht="15" customHeight="1">
      <c r="A162" t="inlineStr">
        <is>
          <t>A 35779-2023</t>
        </is>
      </c>
      <c r="B162" s="1" t="n">
        <v>45148</v>
      </c>
      <c r="C162" s="1" t="n">
        <v>45211</v>
      </c>
      <c r="D162" t="inlineStr">
        <is>
          <t>ÖSTERGÖTLANDS LÄN</t>
        </is>
      </c>
      <c r="E162" t="inlineStr">
        <is>
          <t>NORRKÖPING</t>
        </is>
      </c>
      <c r="F162" t="inlineStr">
        <is>
          <t>Holmen skog AB</t>
        </is>
      </c>
      <c r="G162" t="n">
        <v>3.5</v>
      </c>
      <c r="H162" t="n">
        <v>2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1</v>
      </c>
      <c r="P162" t="n">
        <v>1</v>
      </c>
      <c r="Q162" t="n">
        <v>2</v>
      </c>
      <c r="R162" s="2" t="inlineStr">
        <is>
          <t>Knärot
Blåsippa</t>
        </is>
      </c>
      <c r="S162">
        <f>HYPERLINK("https://klasma.github.io/Logging_0581/artfynd/A 35779-2023.xlsx", "A 35779-2023")</f>
        <v/>
      </c>
      <c r="T162">
        <f>HYPERLINK("https://klasma.github.io/Logging_0581/kartor/A 35779-2023.png", "A 35779-2023")</f>
        <v/>
      </c>
      <c r="U162">
        <f>HYPERLINK("https://klasma.github.io/Logging_0581/knärot/A 35779-2023.png", "A 35779-2023")</f>
        <v/>
      </c>
      <c r="V162">
        <f>HYPERLINK("https://klasma.github.io/Logging_0581/klagomål/A 35779-2023.docx", "A 35779-2023")</f>
        <v/>
      </c>
      <c r="W162">
        <f>HYPERLINK("https://klasma.github.io/Logging_0581/klagomålsmail/A 35779-2023.docx", "A 35779-2023")</f>
        <v/>
      </c>
      <c r="X162">
        <f>HYPERLINK("https://klasma.github.io/Logging_0581/tillsyn/A 35779-2023.docx", "A 35779-2023")</f>
        <v/>
      </c>
      <c r="Y162">
        <f>HYPERLINK("https://klasma.github.io/Logging_0581/tillsynsmail/A 35779-2023.docx", "A 35779-2023")</f>
        <v/>
      </c>
    </row>
    <row r="163" ht="15" customHeight="1">
      <c r="A163" t="inlineStr">
        <is>
          <t>A 38988-2023</t>
        </is>
      </c>
      <c r="B163" s="1" t="n">
        <v>45163</v>
      </c>
      <c r="C163" s="1" t="n">
        <v>45211</v>
      </c>
      <c r="D163" t="inlineStr">
        <is>
          <t>ÖSTERGÖTLANDS LÄN</t>
        </is>
      </c>
      <c r="E163" t="inlineStr">
        <is>
          <t>NORRKÖPING</t>
        </is>
      </c>
      <c r="F163" t="inlineStr">
        <is>
          <t>Holmen skog AB</t>
        </is>
      </c>
      <c r="G163" t="n">
        <v>0.8</v>
      </c>
      <c r="H163" t="n">
        <v>2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2</v>
      </c>
      <c r="R163" s="2" t="inlineStr">
        <is>
          <t>Svartvit flugsnappare
Korallrot</t>
        </is>
      </c>
      <c r="S163">
        <f>HYPERLINK("https://klasma.github.io/Logging_0581/artfynd/A 38988-2023.xlsx", "A 38988-2023")</f>
        <v/>
      </c>
      <c r="T163">
        <f>HYPERLINK("https://klasma.github.io/Logging_0581/kartor/A 38988-2023.png", "A 38988-2023")</f>
        <v/>
      </c>
      <c r="V163">
        <f>HYPERLINK("https://klasma.github.io/Logging_0581/klagomål/A 38988-2023.docx", "A 38988-2023")</f>
        <v/>
      </c>
      <c r="W163">
        <f>HYPERLINK("https://klasma.github.io/Logging_0581/klagomålsmail/A 38988-2023.docx", "A 38988-2023")</f>
        <v/>
      </c>
      <c r="X163">
        <f>HYPERLINK("https://klasma.github.io/Logging_0581/tillsyn/A 38988-2023.docx", "A 38988-2023")</f>
        <v/>
      </c>
      <c r="Y163">
        <f>HYPERLINK("https://klasma.github.io/Logging_0581/tillsynsmail/A 38988-2023.docx", "A 38988-2023")</f>
        <v/>
      </c>
    </row>
    <row r="164" ht="15" customHeight="1">
      <c r="A164" t="inlineStr">
        <is>
          <t>A 39873-2023</t>
        </is>
      </c>
      <c r="B164" s="1" t="n">
        <v>45168</v>
      </c>
      <c r="C164" s="1" t="n">
        <v>45211</v>
      </c>
      <c r="D164" t="inlineStr">
        <is>
          <t>ÖSTERGÖTLANDS LÄN</t>
        </is>
      </c>
      <c r="E164" t="inlineStr">
        <is>
          <t>LINKÖPING</t>
        </is>
      </c>
      <c r="G164" t="n">
        <v>1.5</v>
      </c>
      <c r="H164" t="n">
        <v>1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2</v>
      </c>
      <c r="R164" s="2" t="inlineStr">
        <is>
          <t>Svinrot
Grönvit nattviol</t>
        </is>
      </c>
      <c r="S164">
        <f>HYPERLINK("https://klasma.github.io/Logging_0580/artfynd/A 39873-2023.xlsx", "A 39873-2023")</f>
        <v/>
      </c>
      <c r="T164">
        <f>HYPERLINK("https://klasma.github.io/Logging_0580/kartor/A 39873-2023.png", "A 39873-2023")</f>
        <v/>
      </c>
      <c r="V164">
        <f>HYPERLINK("https://klasma.github.io/Logging_0580/klagomål/A 39873-2023.docx", "A 39873-2023")</f>
        <v/>
      </c>
      <c r="W164">
        <f>HYPERLINK("https://klasma.github.io/Logging_0580/klagomålsmail/A 39873-2023.docx", "A 39873-2023")</f>
        <v/>
      </c>
      <c r="X164">
        <f>HYPERLINK("https://klasma.github.io/Logging_0580/tillsyn/A 39873-2023.docx", "A 39873-2023")</f>
        <v/>
      </c>
      <c r="Y164">
        <f>HYPERLINK("https://klasma.github.io/Logging_0580/tillsynsmail/A 39873-2023.docx", "A 39873-2023")</f>
        <v/>
      </c>
    </row>
    <row r="165" ht="15" customHeight="1">
      <c r="A165" t="inlineStr">
        <is>
          <t>A 46154-2023</t>
        </is>
      </c>
      <c r="B165" s="1" t="n">
        <v>45196</v>
      </c>
      <c r="C165" s="1" t="n">
        <v>45211</v>
      </c>
      <c r="D165" t="inlineStr">
        <is>
          <t>ÖSTERGÖTLANDS LÄN</t>
        </is>
      </c>
      <c r="E165" t="inlineStr">
        <is>
          <t>KINDA</t>
        </is>
      </c>
      <c r="G165" t="n">
        <v>6.6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</v>
      </c>
      <c r="R165" s="2" t="inlineStr">
        <is>
          <t>Dvärgkällmossa
Grön sköldmossa</t>
        </is>
      </c>
      <c r="S165">
        <f>HYPERLINK("https://klasma.github.io/Logging_0513/artfynd/A 46154-2023.xlsx", "A 46154-2023")</f>
        <v/>
      </c>
      <c r="T165">
        <f>HYPERLINK("https://klasma.github.io/Logging_0513/kartor/A 46154-2023.png", "A 46154-2023")</f>
        <v/>
      </c>
      <c r="V165">
        <f>HYPERLINK("https://klasma.github.io/Logging_0513/klagomål/A 46154-2023.docx", "A 46154-2023")</f>
        <v/>
      </c>
      <c r="W165">
        <f>HYPERLINK("https://klasma.github.io/Logging_0513/klagomålsmail/A 46154-2023.docx", "A 46154-2023")</f>
        <v/>
      </c>
      <c r="X165">
        <f>HYPERLINK("https://klasma.github.io/Logging_0513/tillsyn/A 46154-2023.docx", "A 46154-2023")</f>
        <v/>
      </c>
      <c r="Y165">
        <f>HYPERLINK("https://klasma.github.io/Logging_0513/tillsynsmail/A 46154-2023.docx", "A 46154-2023")</f>
        <v/>
      </c>
    </row>
    <row r="166" ht="15" customHeight="1">
      <c r="A166" t="inlineStr">
        <is>
          <t>A 34574-2018</t>
        </is>
      </c>
      <c r="B166" s="1" t="n">
        <v>43320</v>
      </c>
      <c r="C166" s="1" t="n">
        <v>45211</v>
      </c>
      <c r="D166" t="inlineStr">
        <is>
          <t>ÖSTERGÖTLANDS LÄN</t>
        </is>
      </c>
      <c r="E166" t="inlineStr">
        <is>
          <t>KINDA</t>
        </is>
      </c>
      <c r="G166" t="n">
        <v>9.300000000000001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s="2" t="inlineStr">
        <is>
          <t>Bollvitmossa</t>
        </is>
      </c>
      <c r="S166">
        <f>HYPERLINK("https://klasma.github.io/Logging_0513/artfynd/A 34574-2018.xlsx", "A 34574-2018")</f>
        <v/>
      </c>
      <c r="T166">
        <f>HYPERLINK("https://klasma.github.io/Logging_0513/kartor/A 34574-2018.png", "A 34574-2018")</f>
        <v/>
      </c>
      <c r="V166">
        <f>HYPERLINK("https://klasma.github.io/Logging_0513/klagomål/A 34574-2018.docx", "A 34574-2018")</f>
        <v/>
      </c>
      <c r="W166">
        <f>HYPERLINK("https://klasma.github.io/Logging_0513/klagomålsmail/A 34574-2018.docx", "A 34574-2018")</f>
        <v/>
      </c>
      <c r="X166">
        <f>HYPERLINK("https://klasma.github.io/Logging_0513/tillsyn/A 34574-2018.docx", "A 34574-2018")</f>
        <v/>
      </c>
      <c r="Y166">
        <f>HYPERLINK("https://klasma.github.io/Logging_0513/tillsynsmail/A 34574-2018.docx", "A 34574-2018")</f>
        <v/>
      </c>
    </row>
    <row r="167" ht="15" customHeight="1">
      <c r="A167" t="inlineStr">
        <is>
          <t>A 42415-2018</t>
        </is>
      </c>
      <c r="B167" s="1" t="n">
        <v>43353</v>
      </c>
      <c r="C167" s="1" t="n">
        <v>45211</v>
      </c>
      <c r="D167" t="inlineStr">
        <is>
          <t>ÖSTERGÖTLANDS LÄN</t>
        </is>
      </c>
      <c r="E167" t="inlineStr">
        <is>
          <t>KINDA</t>
        </is>
      </c>
      <c r="G167" t="n">
        <v>1.5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  <c r="P167" t="n">
        <v>1</v>
      </c>
      <c r="Q167" t="n">
        <v>1</v>
      </c>
      <c r="R167" s="2" t="inlineStr">
        <is>
          <t>Sorgfibbla</t>
        </is>
      </c>
      <c r="S167">
        <f>HYPERLINK("https://klasma.github.io/Logging_0513/artfynd/A 42415-2018.xlsx", "A 42415-2018")</f>
        <v/>
      </c>
      <c r="T167">
        <f>HYPERLINK("https://klasma.github.io/Logging_0513/kartor/A 42415-2018.png", "A 42415-2018")</f>
        <v/>
      </c>
      <c r="V167">
        <f>HYPERLINK("https://klasma.github.io/Logging_0513/klagomål/A 42415-2018.docx", "A 42415-2018")</f>
        <v/>
      </c>
      <c r="W167">
        <f>HYPERLINK("https://klasma.github.io/Logging_0513/klagomålsmail/A 42415-2018.docx", "A 42415-2018")</f>
        <v/>
      </c>
      <c r="X167">
        <f>HYPERLINK("https://klasma.github.io/Logging_0513/tillsyn/A 42415-2018.docx", "A 42415-2018")</f>
        <v/>
      </c>
      <c r="Y167">
        <f>HYPERLINK("https://klasma.github.io/Logging_0513/tillsynsmail/A 42415-2018.docx", "A 42415-2018")</f>
        <v/>
      </c>
    </row>
    <row r="168" ht="15" customHeight="1">
      <c r="A168" t="inlineStr">
        <is>
          <t>A 45681-2018</t>
        </is>
      </c>
      <c r="B168" s="1" t="n">
        <v>43363</v>
      </c>
      <c r="C168" s="1" t="n">
        <v>45211</v>
      </c>
      <c r="D168" t="inlineStr">
        <is>
          <t>ÖSTERGÖTLANDS LÄN</t>
        </is>
      </c>
      <c r="E168" t="inlineStr">
        <is>
          <t>ÖDESHÖG</t>
        </is>
      </c>
      <c r="G168" t="n">
        <v>7.3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s="2" t="inlineStr">
        <is>
          <t>Blåsippa</t>
        </is>
      </c>
      <c r="S168">
        <f>HYPERLINK("https://klasma.github.io/Logging_0509/artfynd/A 45681-2018.xlsx", "A 45681-2018")</f>
        <v/>
      </c>
      <c r="T168">
        <f>HYPERLINK("https://klasma.github.io/Logging_0509/kartor/A 45681-2018.png", "A 45681-2018")</f>
        <v/>
      </c>
      <c r="V168">
        <f>HYPERLINK("https://klasma.github.io/Logging_0509/klagomål/A 45681-2018.docx", "A 45681-2018")</f>
        <v/>
      </c>
      <c r="W168">
        <f>HYPERLINK("https://klasma.github.io/Logging_0509/klagomålsmail/A 45681-2018.docx", "A 45681-2018")</f>
        <v/>
      </c>
      <c r="X168">
        <f>HYPERLINK("https://klasma.github.io/Logging_0509/tillsyn/A 45681-2018.docx", "A 45681-2018")</f>
        <v/>
      </c>
      <c r="Y168">
        <f>HYPERLINK("https://klasma.github.io/Logging_0509/tillsynsmail/A 45681-2018.docx", "A 45681-2018")</f>
        <v/>
      </c>
    </row>
    <row r="169" ht="15" customHeight="1">
      <c r="A169" t="inlineStr">
        <is>
          <t>A 50450-2018</t>
        </is>
      </c>
      <c r="B169" s="1" t="n">
        <v>43379</v>
      </c>
      <c r="C169" s="1" t="n">
        <v>45211</v>
      </c>
      <c r="D169" t="inlineStr">
        <is>
          <t>ÖSTERGÖTLANDS LÄN</t>
        </is>
      </c>
      <c r="E169" t="inlineStr">
        <is>
          <t>ÅTVIDABERG</t>
        </is>
      </c>
      <c r="F169" t="inlineStr">
        <is>
          <t>Sveaskog</t>
        </is>
      </c>
      <c r="G169" t="n">
        <v>2.4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s="2" t="inlineStr">
        <is>
          <t>Blodvaxskivling</t>
        </is>
      </c>
      <c r="S169">
        <f>HYPERLINK("https://klasma.github.io/Logging_0561/artfynd/A 50450-2018.xlsx", "A 50450-2018")</f>
        <v/>
      </c>
      <c r="T169">
        <f>HYPERLINK("https://klasma.github.io/Logging_0561/kartor/A 50450-2018.png", "A 50450-2018")</f>
        <v/>
      </c>
      <c r="V169">
        <f>HYPERLINK("https://klasma.github.io/Logging_0561/klagomål/A 50450-2018.docx", "A 50450-2018")</f>
        <v/>
      </c>
      <c r="W169">
        <f>HYPERLINK("https://klasma.github.io/Logging_0561/klagomålsmail/A 50450-2018.docx", "A 50450-2018")</f>
        <v/>
      </c>
      <c r="X169">
        <f>HYPERLINK("https://klasma.github.io/Logging_0561/tillsyn/A 50450-2018.docx", "A 50450-2018")</f>
        <v/>
      </c>
      <c r="Y169">
        <f>HYPERLINK("https://klasma.github.io/Logging_0561/tillsynsmail/A 50450-2018.docx", "A 50450-2018")</f>
        <v/>
      </c>
    </row>
    <row r="170" ht="15" customHeight="1">
      <c r="A170" t="inlineStr">
        <is>
          <t>A 53264-2018</t>
        </is>
      </c>
      <c r="B170" s="1" t="n">
        <v>43390</v>
      </c>
      <c r="C170" s="1" t="n">
        <v>45211</v>
      </c>
      <c r="D170" t="inlineStr">
        <is>
          <t>ÖSTERGÖTLANDS LÄN</t>
        </is>
      </c>
      <c r="E170" t="inlineStr">
        <is>
          <t>LINKÖPING</t>
        </is>
      </c>
      <c r="G170" t="n">
        <v>4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s="2" t="inlineStr">
        <is>
          <t>Vårstarr</t>
        </is>
      </c>
      <c r="S170">
        <f>HYPERLINK("https://klasma.github.io/Logging_0580/artfynd/A 53264-2018.xlsx", "A 53264-2018")</f>
        <v/>
      </c>
      <c r="T170">
        <f>HYPERLINK("https://klasma.github.io/Logging_0580/kartor/A 53264-2018.png", "A 53264-2018")</f>
        <v/>
      </c>
      <c r="V170">
        <f>HYPERLINK("https://klasma.github.io/Logging_0580/klagomål/A 53264-2018.docx", "A 53264-2018")</f>
        <v/>
      </c>
      <c r="W170">
        <f>HYPERLINK("https://klasma.github.io/Logging_0580/klagomålsmail/A 53264-2018.docx", "A 53264-2018")</f>
        <v/>
      </c>
      <c r="X170">
        <f>HYPERLINK("https://klasma.github.io/Logging_0580/tillsyn/A 53264-2018.docx", "A 53264-2018")</f>
        <v/>
      </c>
      <c r="Y170">
        <f>HYPERLINK("https://klasma.github.io/Logging_0580/tillsynsmail/A 53264-2018.docx", "A 53264-2018")</f>
        <v/>
      </c>
    </row>
    <row r="171" ht="15" customHeight="1">
      <c r="A171" t="inlineStr">
        <is>
          <t>A 54257-2018</t>
        </is>
      </c>
      <c r="B171" s="1" t="n">
        <v>43393</v>
      </c>
      <c r="C171" s="1" t="n">
        <v>45211</v>
      </c>
      <c r="D171" t="inlineStr">
        <is>
          <t>ÖSTERGÖTLANDS LÄN</t>
        </is>
      </c>
      <c r="E171" t="inlineStr">
        <is>
          <t>ÅTVIDABERG</t>
        </is>
      </c>
      <c r="F171" t="inlineStr">
        <is>
          <t>Sveaskog</t>
        </is>
      </c>
      <c r="G171" t="n">
        <v>1.3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1</v>
      </c>
      <c r="R171" s="2" t="inlineStr">
        <is>
          <t>Vedtrappmossa</t>
        </is>
      </c>
      <c r="S171">
        <f>HYPERLINK("https://klasma.github.io/Logging_0561/artfynd/A 54257-2018.xlsx", "A 54257-2018")</f>
        <v/>
      </c>
      <c r="T171">
        <f>HYPERLINK("https://klasma.github.io/Logging_0561/kartor/A 54257-2018.png", "A 54257-2018")</f>
        <v/>
      </c>
      <c r="U171">
        <f>HYPERLINK("https://klasma.github.io/Logging_0561/knärot/A 54257-2018.png", "A 54257-2018")</f>
        <v/>
      </c>
      <c r="V171">
        <f>HYPERLINK("https://klasma.github.io/Logging_0561/klagomål/A 54257-2018.docx", "A 54257-2018")</f>
        <v/>
      </c>
      <c r="W171">
        <f>HYPERLINK("https://klasma.github.io/Logging_0561/klagomålsmail/A 54257-2018.docx", "A 54257-2018")</f>
        <v/>
      </c>
      <c r="X171">
        <f>HYPERLINK("https://klasma.github.io/Logging_0561/tillsyn/A 54257-2018.docx", "A 54257-2018")</f>
        <v/>
      </c>
      <c r="Y171">
        <f>HYPERLINK("https://klasma.github.io/Logging_0561/tillsynsmail/A 54257-2018.docx", "A 54257-2018")</f>
        <v/>
      </c>
    </row>
    <row r="172" ht="15" customHeight="1">
      <c r="A172" t="inlineStr">
        <is>
          <t>A 60828-2018</t>
        </is>
      </c>
      <c r="B172" s="1" t="n">
        <v>43410</v>
      </c>
      <c r="C172" s="1" t="n">
        <v>45211</v>
      </c>
      <c r="D172" t="inlineStr">
        <is>
          <t>ÖSTERGÖTLANDS LÄN</t>
        </is>
      </c>
      <c r="E172" t="inlineStr">
        <is>
          <t>ÅTVIDABERG</t>
        </is>
      </c>
      <c r="G172" t="n">
        <v>0.9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s="2" t="inlineStr">
        <is>
          <t>Ullticka</t>
        </is>
      </c>
      <c r="S172">
        <f>HYPERLINK("https://klasma.github.io/Logging_0561/artfynd/A 60828-2018.xlsx", "A 60828-2018")</f>
        <v/>
      </c>
      <c r="T172">
        <f>HYPERLINK("https://klasma.github.io/Logging_0561/kartor/A 60828-2018.png", "A 60828-2018")</f>
        <v/>
      </c>
      <c r="V172">
        <f>HYPERLINK("https://klasma.github.io/Logging_0561/klagomål/A 60828-2018.docx", "A 60828-2018")</f>
        <v/>
      </c>
      <c r="W172">
        <f>HYPERLINK("https://klasma.github.io/Logging_0561/klagomålsmail/A 60828-2018.docx", "A 60828-2018")</f>
        <v/>
      </c>
      <c r="X172">
        <f>HYPERLINK("https://klasma.github.io/Logging_0561/tillsyn/A 60828-2018.docx", "A 60828-2018")</f>
        <v/>
      </c>
      <c r="Y172">
        <f>HYPERLINK("https://klasma.github.io/Logging_0561/tillsynsmail/A 60828-2018.docx", "A 60828-2018")</f>
        <v/>
      </c>
    </row>
    <row r="173" ht="15" customHeight="1">
      <c r="A173" t="inlineStr">
        <is>
          <t>A 59745-2018</t>
        </is>
      </c>
      <c r="B173" s="1" t="n">
        <v>43411</v>
      </c>
      <c r="C173" s="1" t="n">
        <v>45211</v>
      </c>
      <c r="D173" t="inlineStr">
        <is>
          <t>ÖSTERGÖTLANDS LÄN</t>
        </is>
      </c>
      <c r="E173" t="inlineStr">
        <is>
          <t>NORRKÖPING</t>
        </is>
      </c>
      <c r="G173" t="n">
        <v>0.9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1</v>
      </c>
      <c r="P173" t="n">
        <v>1</v>
      </c>
      <c r="Q173" t="n">
        <v>1</v>
      </c>
      <c r="R173" s="2" t="inlineStr">
        <is>
          <t>Ask</t>
        </is>
      </c>
      <c r="S173">
        <f>HYPERLINK("https://klasma.github.io/Logging_0581/artfynd/A 59745-2018.xlsx", "A 59745-2018")</f>
        <v/>
      </c>
      <c r="T173">
        <f>HYPERLINK("https://klasma.github.io/Logging_0581/kartor/A 59745-2018.png", "A 59745-2018")</f>
        <v/>
      </c>
      <c r="V173">
        <f>HYPERLINK("https://klasma.github.io/Logging_0581/klagomål/A 59745-2018.docx", "A 59745-2018")</f>
        <v/>
      </c>
      <c r="W173">
        <f>HYPERLINK("https://klasma.github.io/Logging_0581/klagomålsmail/A 59745-2018.docx", "A 59745-2018")</f>
        <v/>
      </c>
      <c r="X173">
        <f>HYPERLINK("https://klasma.github.io/Logging_0581/tillsyn/A 59745-2018.docx", "A 59745-2018")</f>
        <v/>
      </c>
      <c r="Y173">
        <f>HYPERLINK("https://klasma.github.io/Logging_0581/tillsynsmail/A 59745-2018.docx", "A 59745-2018")</f>
        <v/>
      </c>
    </row>
    <row r="174" ht="15" customHeight="1">
      <c r="A174" t="inlineStr">
        <is>
          <t>A 59235-2018</t>
        </is>
      </c>
      <c r="B174" s="1" t="n">
        <v>43417</v>
      </c>
      <c r="C174" s="1" t="n">
        <v>45211</v>
      </c>
      <c r="D174" t="inlineStr">
        <is>
          <t>ÖSTERGÖTLANDS LÄN</t>
        </is>
      </c>
      <c r="E174" t="inlineStr">
        <is>
          <t>LINKÖPING</t>
        </is>
      </c>
      <c r="G174" t="n">
        <v>2.7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1</v>
      </c>
      <c r="R174" s="2" t="inlineStr">
        <is>
          <t>Svinrot</t>
        </is>
      </c>
      <c r="S174">
        <f>HYPERLINK("https://klasma.github.io/Logging_0580/artfynd/A 59235-2018.xlsx", "A 59235-2018")</f>
        <v/>
      </c>
      <c r="T174">
        <f>HYPERLINK("https://klasma.github.io/Logging_0580/kartor/A 59235-2018.png", "A 59235-2018")</f>
        <v/>
      </c>
      <c r="V174">
        <f>HYPERLINK("https://klasma.github.io/Logging_0580/klagomål/A 59235-2018.docx", "A 59235-2018")</f>
        <v/>
      </c>
      <c r="W174">
        <f>HYPERLINK("https://klasma.github.io/Logging_0580/klagomålsmail/A 59235-2018.docx", "A 59235-2018")</f>
        <v/>
      </c>
      <c r="X174">
        <f>HYPERLINK("https://klasma.github.io/Logging_0580/tillsyn/A 59235-2018.docx", "A 59235-2018")</f>
        <v/>
      </c>
      <c r="Y174">
        <f>HYPERLINK("https://klasma.github.io/Logging_0580/tillsynsmail/A 59235-2018.docx", "A 59235-2018")</f>
        <v/>
      </c>
    </row>
    <row r="175" ht="15" customHeight="1">
      <c r="A175" t="inlineStr">
        <is>
          <t>A 67960-2018</t>
        </is>
      </c>
      <c r="B175" s="1" t="n">
        <v>43440</v>
      </c>
      <c r="C175" s="1" t="n">
        <v>45211</v>
      </c>
      <c r="D175" t="inlineStr">
        <is>
          <t>ÖSTERGÖTLANDS LÄN</t>
        </is>
      </c>
      <c r="E175" t="inlineStr">
        <is>
          <t>MJÖLBY</t>
        </is>
      </c>
      <c r="G175" t="n">
        <v>1.3</v>
      </c>
      <c r="H175" t="n">
        <v>1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  <c r="P175" t="n">
        <v>1</v>
      </c>
      <c r="Q175" t="n">
        <v>1</v>
      </c>
      <c r="R175" s="2" t="inlineStr">
        <is>
          <t>Backsvala</t>
        </is>
      </c>
      <c r="S175">
        <f>HYPERLINK("https://klasma.github.io/Logging_0586/artfynd/A 67960-2018.xlsx", "A 67960-2018")</f>
        <v/>
      </c>
      <c r="T175">
        <f>HYPERLINK("https://klasma.github.io/Logging_0586/kartor/A 67960-2018.png", "A 67960-2018")</f>
        <v/>
      </c>
      <c r="V175">
        <f>HYPERLINK("https://klasma.github.io/Logging_0586/klagomål/A 67960-2018.docx", "A 67960-2018")</f>
        <v/>
      </c>
      <c r="W175">
        <f>HYPERLINK("https://klasma.github.io/Logging_0586/klagomålsmail/A 67960-2018.docx", "A 67960-2018")</f>
        <v/>
      </c>
      <c r="X175">
        <f>HYPERLINK("https://klasma.github.io/Logging_0586/tillsyn/A 67960-2018.docx", "A 67960-2018")</f>
        <v/>
      </c>
      <c r="Y175">
        <f>HYPERLINK("https://klasma.github.io/Logging_0586/tillsynsmail/A 67960-2018.docx", "A 67960-2018")</f>
        <v/>
      </c>
    </row>
    <row r="176" ht="15" customHeight="1">
      <c r="A176" t="inlineStr">
        <is>
          <t>A 70444-2018</t>
        </is>
      </c>
      <c r="B176" s="1" t="n">
        <v>43447</v>
      </c>
      <c r="C176" s="1" t="n">
        <v>45211</v>
      </c>
      <c r="D176" t="inlineStr">
        <is>
          <t>ÖSTERGÖTLANDS LÄN</t>
        </is>
      </c>
      <c r="E176" t="inlineStr">
        <is>
          <t>FINSPÅNG</t>
        </is>
      </c>
      <c r="G176" t="n">
        <v>4.9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1</v>
      </c>
      <c r="R176" s="2" t="inlineStr">
        <is>
          <t>Veckticka</t>
        </is>
      </c>
      <c r="S176">
        <f>HYPERLINK("https://klasma.github.io/Logging_0562/artfynd/A 70444-2018.xlsx", "A 70444-2018")</f>
        <v/>
      </c>
      <c r="T176">
        <f>HYPERLINK("https://klasma.github.io/Logging_0562/kartor/A 70444-2018.png", "A 70444-2018")</f>
        <v/>
      </c>
      <c r="V176">
        <f>HYPERLINK("https://klasma.github.io/Logging_0562/klagomål/A 70444-2018.docx", "A 70444-2018")</f>
        <v/>
      </c>
      <c r="W176">
        <f>HYPERLINK("https://klasma.github.io/Logging_0562/klagomålsmail/A 70444-2018.docx", "A 70444-2018")</f>
        <v/>
      </c>
      <c r="X176">
        <f>HYPERLINK("https://klasma.github.io/Logging_0562/tillsyn/A 70444-2018.docx", "A 70444-2018")</f>
        <v/>
      </c>
      <c r="Y176">
        <f>HYPERLINK("https://klasma.github.io/Logging_0562/tillsynsmail/A 70444-2018.docx", "A 70444-2018")</f>
        <v/>
      </c>
    </row>
    <row r="177" ht="15" customHeight="1">
      <c r="A177" t="inlineStr">
        <is>
          <t>A 70582-2018</t>
        </is>
      </c>
      <c r="B177" s="1" t="n">
        <v>43451</v>
      </c>
      <c r="C177" s="1" t="n">
        <v>45211</v>
      </c>
      <c r="D177" t="inlineStr">
        <is>
          <t>ÖSTERGÖTLANDS LÄN</t>
        </is>
      </c>
      <c r="E177" t="inlineStr">
        <is>
          <t>ÅTVIDABERG</t>
        </is>
      </c>
      <c r="G177" t="n">
        <v>3.5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1</v>
      </c>
      <c r="P177" t="n">
        <v>1</v>
      </c>
      <c r="Q177" t="n">
        <v>1</v>
      </c>
      <c r="R177" s="2" t="inlineStr">
        <is>
          <t>Ask</t>
        </is>
      </c>
      <c r="S177">
        <f>HYPERLINK("https://klasma.github.io/Logging_0561/artfynd/A 70582-2018.xlsx", "A 70582-2018")</f>
        <v/>
      </c>
      <c r="T177">
        <f>HYPERLINK("https://klasma.github.io/Logging_0561/kartor/A 70582-2018.png", "A 70582-2018")</f>
        <v/>
      </c>
      <c r="V177">
        <f>HYPERLINK("https://klasma.github.io/Logging_0561/klagomål/A 70582-2018.docx", "A 70582-2018")</f>
        <v/>
      </c>
      <c r="W177">
        <f>HYPERLINK("https://klasma.github.io/Logging_0561/klagomålsmail/A 70582-2018.docx", "A 70582-2018")</f>
        <v/>
      </c>
      <c r="X177">
        <f>HYPERLINK("https://klasma.github.io/Logging_0561/tillsyn/A 70582-2018.docx", "A 70582-2018")</f>
        <v/>
      </c>
      <c r="Y177">
        <f>HYPERLINK("https://klasma.github.io/Logging_0561/tillsynsmail/A 70582-2018.docx", "A 70582-2018")</f>
        <v/>
      </c>
    </row>
    <row r="178" ht="15" customHeight="1">
      <c r="A178" t="inlineStr">
        <is>
          <t>A 71913-2018</t>
        </is>
      </c>
      <c r="B178" s="1" t="n">
        <v>43453</v>
      </c>
      <c r="C178" s="1" t="n">
        <v>45211</v>
      </c>
      <c r="D178" t="inlineStr">
        <is>
          <t>ÖSTERGÖTLANDS LÄN</t>
        </is>
      </c>
      <c r="E178" t="inlineStr">
        <is>
          <t>LINKÖPING</t>
        </is>
      </c>
      <c r="F178" t="inlineStr">
        <is>
          <t>Övriga Aktiebolag</t>
        </is>
      </c>
      <c r="G178" t="n">
        <v>9.800000000000001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s="2" t="inlineStr">
        <is>
          <t>Mattlummer</t>
        </is>
      </c>
      <c r="S178">
        <f>HYPERLINK("https://klasma.github.io/Logging_0580/artfynd/A 71913-2018.xlsx", "A 71913-2018")</f>
        <v/>
      </c>
      <c r="T178">
        <f>HYPERLINK("https://klasma.github.io/Logging_0580/kartor/A 71913-2018.png", "A 71913-2018")</f>
        <v/>
      </c>
      <c r="V178">
        <f>HYPERLINK("https://klasma.github.io/Logging_0580/klagomål/A 71913-2018.docx", "A 71913-2018")</f>
        <v/>
      </c>
      <c r="W178">
        <f>HYPERLINK("https://klasma.github.io/Logging_0580/klagomålsmail/A 71913-2018.docx", "A 71913-2018")</f>
        <v/>
      </c>
      <c r="X178">
        <f>HYPERLINK("https://klasma.github.io/Logging_0580/tillsyn/A 71913-2018.docx", "A 71913-2018")</f>
        <v/>
      </c>
      <c r="Y178">
        <f>HYPERLINK("https://klasma.github.io/Logging_0580/tillsynsmail/A 71913-2018.docx", "A 71913-2018")</f>
        <v/>
      </c>
    </row>
    <row r="179" ht="15" customHeight="1">
      <c r="A179" t="inlineStr">
        <is>
          <t>A 71297-2018</t>
        </is>
      </c>
      <c r="B179" s="1" t="n">
        <v>43453</v>
      </c>
      <c r="C179" s="1" t="n">
        <v>45211</v>
      </c>
      <c r="D179" t="inlineStr">
        <is>
          <t>ÖSTERGÖTLANDS LÄN</t>
        </is>
      </c>
      <c r="E179" t="inlineStr">
        <is>
          <t>MOTALA</t>
        </is>
      </c>
      <c r="F179" t="inlineStr">
        <is>
          <t>Kommuner</t>
        </is>
      </c>
      <c r="G179" t="n">
        <v>2.5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1</v>
      </c>
      <c r="R179" s="2" t="inlineStr">
        <is>
          <t>Luddfingersvamp</t>
        </is>
      </c>
      <c r="S179">
        <f>HYPERLINK("https://klasma.github.io/Logging_0583/artfynd/A 71297-2018.xlsx", "A 71297-2018")</f>
        <v/>
      </c>
      <c r="T179">
        <f>HYPERLINK("https://klasma.github.io/Logging_0583/kartor/A 71297-2018.png", "A 71297-2018")</f>
        <v/>
      </c>
      <c r="V179">
        <f>HYPERLINK("https://klasma.github.io/Logging_0583/klagomål/A 71297-2018.docx", "A 71297-2018")</f>
        <v/>
      </c>
      <c r="W179">
        <f>HYPERLINK("https://klasma.github.io/Logging_0583/klagomålsmail/A 71297-2018.docx", "A 71297-2018")</f>
        <v/>
      </c>
      <c r="X179">
        <f>HYPERLINK("https://klasma.github.io/Logging_0583/tillsyn/A 71297-2018.docx", "A 71297-2018")</f>
        <v/>
      </c>
      <c r="Y179">
        <f>HYPERLINK("https://klasma.github.io/Logging_0583/tillsynsmail/A 71297-2018.docx", "A 71297-2018")</f>
        <v/>
      </c>
    </row>
    <row r="180" ht="15" customHeight="1">
      <c r="A180" t="inlineStr">
        <is>
          <t>A 1679-2019</t>
        </is>
      </c>
      <c r="B180" s="1" t="n">
        <v>43474</v>
      </c>
      <c r="C180" s="1" t="n">
        <v>45211</v>
      </c>
      <c r="D180" t="inlineStr">
        <is>
          <t>ÖSTERGÖTLANDS LÄN</t>
        </is>
      </c>
      <c r="E180" t="inlineStr">
        <is>
          <t>KINDA</t>
        </is>
      </c>
      <c r="G180" t="n">
        <v>0.4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s="2" t="inlineStr">
        <is>
          <t>Strutbräken</t>
        </is>
      </c>
      <c r="S180">
        <f>HYPERLINK("https://klasma.github.io/Logging_0513/artfynd/A 1679-2019.xlsx", "A 1679-2019")</f>
        <v/>
      </c>
      <c r="T180">
        <f>HYPERLINK("https://klasma.github.io/Logging_0513/kartor/A 1679-2019.png", "A 1679-2019")</f>
        <v/>
      </c>
      <c r="V180">
        <f>HYPERLINK("https://klasma.github.io/Logging_0513/klagomål/A 1679-2019.docx", "A 1679-2019")</f>
        <v/>
      </c>
      <c r="W180">
        <f>HYPERLINK("https://klasma.github.io/Logging_0513/klagomålsmail/A 1679-2019.docx", "A 1679-2019")</f>
        <v/>
      </c>
      <c r="X180">
        <f>HYPERLINK("https://klasma.github.io/Logging_0513/tillsyn/A 1679-2019.docx", "A 1679-2019")</f>
        <v/>
      </c>
      <c r="Y180">
        <f>HYPERLINK("https://klasma.github.io/Logging_0513/tillsynsmail/A 1679-2019.docx", "A 1679-2019")</f>
        <v/>
      </c>
    </row>
    <row r="181" ht="15" customHeight="1">
      <c r="A181" t="inlineStr">
        <is>
          <t>A 2180-2019</t>
        </is>
      </c>
      <c r="B181" s="1" t="n">
        <v>43475</v>
      </c>
      <c r="C181" s="1" t="n">
        <v>45211</v>
      </c>
      <c r="D181" t="inlineStr">
        <is>
          <t>ÖSTERGÖTLANDS LÄN</t>
        </is>
      </c>
      <c r="E181" t="inlineStr">
        <is>
          <t>KINDA</t>
        </is>
      </c>
      <c r="G181" t="n">
        <v>2</v>
      </c>
      <c r="H181" t="n">
        <v>1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s="2" t="inlineStr">
        <is>
          <t>Korallrot</t>
        </is>
      </c>
      <c r="S181">
        <f>HYPERLINK("https://klasma.github.io/Logging_0513/artfynd/A 2180-2019.xlsx", "A 2180-2019")</f>
        <v/>
      </c>
      <c r="T181">
        <f>HYPERLINK("https://klasma.github.io/Logging_0513/kartor/A 2180-2019.png", "A 2180-2019")</f>
        <v/>
      </c>
      <c r="V181">
        <f>HYPERLINK("https://klasma.github.io/Logging_0513/klagomål/A 2180-2019.docx", "A 2180-2019")</f>
        <v/>
      </c>
      <c r="W181">
        <f>HYPERLINK("https://klasma.github.io/Logging_0513/klagomålsmail/A 2180-2019.docx", "A 2180-2019")</f>
        <v/>
      </c>
      <c r="X181">
        <f>HYPERLINK("https://klasma.github.io/Logging_0513/tillsyn/A 2180-2019.docx", "A 2180-2019")</f>
        <v/>
      </c>
      <c r="Y181">
        <f>HYPERLINK("https://klasma.github.io/Logging_0513/tillsynsmail/A 2180-2019.docx", "A 2180-2019")</f>
        <v/>
      </c>
    </row>
    <row r="182" ht="15" customHeight="1">
      <c r="A182" t="inlineStr">
        <is>
          <t>A 10061-2019</t>
        </is>
      </c>
      <c r="B182" s="1" t="n">
        <v>43510</v>
      </c>
      <c r="C182" s="1" t="n">
        <v>45211</v>
      </c>
      <c r="D182" t="inlineStr">
        <is>
          <t>ÖSTERGÖTLANDS LÄN</t>
        </is>
      </c>
      <c r="E182" t="inlineStr">
        <is>
          <t>LINKÖPING</t>
        </is>
      </c>
      <c r="G182" t="n">
        <v>8.699999999999999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s="2" t="inlineStr">
        <is>
          <t>Brun nållav</t>
        </is>
      </c>
      <c r="S182">
        <f>HYPERLINK("https://klasma.github.io/Logging_0580/artfynd/A 10061-2019.xlsx", "A 10061-2019")</f>
        <v/>
      </c>
      <c r="T182">
        <f>HYPERLINK("https://klasma.github.io/Logging_0580/kartor/A 10061-2019.png", "A 10061-2019")</f>
        <v/>
      </c>
      <c r="V182">
        <f>HYPERLINK("https://klasma.github.io/Logging_0580/klagomål/A 10061-2019.docx", "A 10061-2019")</f>
        <v/>
      </c>
      <c r="W182">
        <f>HYPERLINK("https://klasma.github.io/Logging_0580/klagomålsmail/A 10061-2019.docx", "A 10061-2019")</f>
        <v/>
      </c>
      <c r="X182">
        <f>HYPERLINK("https://klasma.github.io/Logging_0580/tillsyn/A 10061-2019.docx", "A 10061-2019")</f>
        <v/>
      </c>
      <c r="Y182">
        <f>HYPERLINK("https://klasma.github.io/Logging_0580/tillsynsmail/A 10061-2019.docx", "A 10061-2019")</f>
        <v/>
      </c>
    </row>
    <row r="183" ht="15" customHeight="1">
      <c r="A183" t="inlineStr">
        <is>
          <t>A 10630-2019</t>
        </is>
      </c>
      <c r="B183" s="1" t="n">
        <v>43513</v>
      </c>
      <c r="C183" s="1" t="n">
        <v>45211</v>
      </c>
      <c r="D183" t="inlineStr">
        <is>
          <t>ÖSTERGÖTLANDS LÄN</t>
        </is>
      </c>
      <c r="E183" t="inlineStr">
        <is>
          <t>FINSPÅNG</t>
        </is>
      </c>
      <c r="F183" t="inlineStr">
        <is>
          <t>Övriga Aktiebolag</t>
        </is>
      </c>
      <c r="G183" t="n">
        <v>6.7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s="2" t="inlineStr">
        <is>
          <t>Silversmygare</t>
        </is>
      </c>
      <c r="S183">
        <f>HYPERLINK("https://klasma.github.io/Logging_0562/artfynd/A 10630-2019.xlsx", "A 10630-2019")</f>
        <v/>
      </c>
      <c r="T183">
        <f>HYPERLINK("https://klasma.github.io/Logging_0562/kartor/A 10630-2019.png", "A 10630-2019")</f>
        <v/>
      </c>
      <c r="V183">
        <f>HYPERLINK("https://klasma.github.io/Logging_0562/klagomål/A 10630-2019.docx", "A 10630-2019")</f>
        <v/>
      </c>
      <c r="W183">
        <f>HYPERLINK("https://klasma.github.io/Logging_0562/klagomålsmail/A 10630-2019.docx", "A 10630-2019")</f>
        <v/>
      </c>
      <c r="X183">
        <f>HYPERLINK("https://klasma.github.io/Logging_0562/tillsyn/A 10630-2019.docx", "A 10630-2019")</f>
        <v/>
      </c>
      <c r="Y183">
        <f>HYPERLINK("https://klasma.github.io/Logging_0562/tillsynsmail/A 10630-2019.docx", "A 10630-2019")</f>
        <v/>
      </c>
    </row>
    <row r="184" ht="15" customHeight="1">
      <c r="A184" t="inlineStr">
        <is>
          <t>A 12321-2019</t>
        </is>
      </c>
      <c r="B184" s="1" t="n">
        <v>43523</v>
      </c>
      <c r="C184" s="1" t="n">
        <v>45211</v>
      </c>
      <c r="D184" t="inlineStr">
        <is>
          <t>ÖSTERGÖTLANDS LÄN</t>
        </is>
      </c>
      <c r="E184" t="inlineStr">
        <is>
          <t>KINDA</t>
        </is>
      </c>
      <c r="G184" t="n">
        <v>0.9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1</v>
      </c>
      <c r="R184" s="2" t="inlineStr">
        <is>
          <t>Klubbsprötad bastardsvärmare</t>
        </is>
      </c>
      <c r="S184">
        <f>HYPERLINK("https://klasma.github.io/Logging_0513/artfynd/A 12321-2019.xlsx", "A 12321-2019")</f>
        <v/>
      </c>
      <c r="T184">
        <f>HYPERLINK("https://klasma.github.io/Logging_0513/kartor/A 12321-2019.png", "A 12321-2019")</f>
        <v/>
      </c>
      <c r="V184">
        <f>HYPERLINK("https://klasma.github.io/Logging_0513/klagomål/A 12321-2019.docx", "A 12321-2019")</f>
        <v/>
      </c>
      <c r="W184">
        <f>HYPERLINK("https://klasma.github.io/Logging_0513/klagomålsmail/A 12321-2019.docx", "A 12321-2019")</f>
        <v/>
      </c>
      <c r="X184">
        <f>HYPERLINK("https://klasma.github.io/Logging_0513/tillsyn/A 12321-2019.docx", "A 12321-2019")</f>
        <v/>
      </c>
      <c r="Y184">
        <f>HYPERLINK("https://klasma.github.io/Logging_0513/tillsynsmail/A 12321-2019.docx", "A 12321-2019")</f>
        <v/>
      </c>
    </row>
    <row r="185" ht="15" customHeight="1">
      <c r="A185" t="inlineStr">
        <is>
          <t>A 12638-2019</t>
        </is>
      </c>
      <c r="B185" s="1" t="n">
        <v>43524</v>
      </c>
      <c r="C185" s="1" t="n">
        <v>45211</v>
      </c>
      <c r="D185" t="inlineStr">
        <is>
          <t>ÖSTERGÖTLANDS LÄN</t>
        </is>
      </c>
      <c r="E185" t="inlineStr">
        <is>
          <t>KINDA</t>
        </is>
      </c>
      <c r="G185" t="n">
        <v>2.1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s="2" t="inlineStr">
        <is>
          <t>Blåsippa</t>
        </is>
      </c>
      <c r="S185">
        <f>HYPERLINK("https://klasma.github.io/Logging_0513/artfynd/A 12638-2019.xlsx", "A 12638-2019")</f>
        <v/>
      </c>
      <c r="T185">
        <f>HYPERLINK("https://klasma.github.io/Logging_0513/kartor/A 12638-2019.png", "A 12638-2019")</f>
        <v/>
      </c>
      <c r="V185">
        <f>HYPERLINK("https://klasma.github.io/Logging_0513/klagomål/A 12638-2019.docx", "A 12638-2019")</f>
        <v/>
      </c>
      <c r="W185">
        <f>HYPERLINK("https://klasma.github.io/Logging_0513/klagomålsmail/A 12638-2019.docx", "A 12638-2019")</f>
        <v/>
      </c>
      <c r="X185">
        <f>HYPERLINK("https://klasma.github.io/Logging_0513/tillsyn/A 12638-2019.docx", "A 12638-2019")</f>
        <v/>
      </c>
      <c r="Y185">
        <f>HYPERLINK("https://klasma.github.io/Logging_0513/tillsynsmail/A 12638-2019.docx", "A 12638-2019")</f>
        <v/>
      </c>
    </row>
    <row r="186" ht="15" customHeight="1">
      <c r="A186" t="inlineStr">
        <is>
          <t>A 12639-2019</t>
        </is>
      </c>
      <c r="B186" s="1" t="n">
        <v>43524</v>
      </c>
      <c r="C186" s="1" t="n">
        <v>45211</v>
      </c>
      <c r="D186" t="inlineStr">
        <is>
          <t>ÖSTERGÖTLANDS LÄN</t>
        </is>
      </c>
      <c r="E186" t="inlineStr">
        <is>
          <t>YDRE</t>
        </is>
      </c>
      <c r="G186" t="n">
        <v>2.2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1</v>
      </c>
      <c r="P186" t="n">
        <v>1</v>
      </c>
      <c r="Q186" t="n">
        <v>1</v>
      </c>
      <c r="R186" s="2" t="inlineStr">
        <is>
          <t>Lake</t>
        </is>
      </c>
      <c r="S186">
        <f>HYPERLINK("https://klasma.github.io/Logging_0512/artfynd/A 12639-2019.xlsx", "A 12639-2019")</f>
        <v/>
      </c>
      <c r="T186">
        <f>HYPERLINK("https://klasma.github.io/Logging_0512/kartor/A 12639-2019.png", "A 12639-2019")</f>
        <v/>
      </c>
      <c r="V186">
        <f>HYPERLINK("https://klasma.github.io/Logging_0512/klagomål/A 12639-2019.docx", "A 12639-2019")</f>
        <v/>
      </c>
      <c r="W186">
        <f>HYPERLINK("https://klasma.github.io/Logging_0512/klagomålsmail/A 12639-2019.docx", "A 12639-2019")</f>
        <v/>
      </c>
      <c r="X186">
        <f>HYPERLINK("https://klasma.github.io/Logging_0512/tillsyn/A 12639-2019.docx", "A 12639-2019")</f>
        <v/>
      </c>
      <c r="Y186">
        <f>HYPERLINK("https://klasma.github.io/Logging_0512/tillsynsmail/A 12639-2019.docx", "A 12639-2019")</f>
        <v/>
      </c>
    </row>
    <row r="187" ht="15" customHeight="1">
      <c r="A187" t="inlineStr">
        <is>
          <t>A 13899-2019</t>
        </is>
      </c>
      <c r="B187" s="1" t="n">
        <v>43531</v>
      </c>
      <c r="C187" s="1" t="n">
        <v>45211</v>
      </c>
      <c r="D187" t="inlineStr">
        <is>
          <t>ÖSTERGÖTLANDS LÄN</t>
        </is>
      </c>
      <c r="E187" t="inlineStr">
        <is>
          <t>KINDA</t>
        </is>
      </c>
      <c r="G187" t="n">
        <v>5.7</v>
      </c>
      <c r="H187" t="n">
        <v>1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1</v>
      </c>
      <c r="P187" t="n">
        <v>1</v>
      </c>
      <c r="Q187" t="n">
        <v>1</v>
      </c>
      <c r="R187" s="2" t="inlineStr">
        <is>
          <t>Knärot</t>
        </is>
      </c>
      <c r="S187">
        <f>HYPERLINK("https://klasma.github.io/Logging_0513/artfynd/A 13899-2019.xlsx", "A 13899-2019")</f>
        <v/>
      </c>
      <c r="T187">
        <f>HYPERLINK("https://klasma.github.io/Logging_0513/kartor/A 13899-2019.png", "A 13899-2019")</f>
        <v/>
      </c>
      <c r="U187">
        <f>HYPERLINK("https://klasma.github.io/Logging_0513/knärot/A 13899-2019.png", "A 13899-2019")</f>
        <v/>
      </c>
      <c r="V187">
        <f>HYPERLINK("https://klasma.github.io/Logging_0513/klagomål/A 13899-2019.docx", "A 13899-2019")</f>
        <v/>
      </c>
      <c r="W187">
        <f>HYPERLINK("https://klasma.github.io/Logging_0513/klagomålsmail/A 13899-2019.docx", "A 13899-2019")</f>
        <v/>
      </c>
      <c r="X187">
        <f>HYPERLINK("https://klasma.github.io/Logging_0513/tillsyn/A 13899-2019.docx", "A 13899-2019")</f>
        <v/>
      </c>
      <c r="Y187">
        <f>HYPERLINK("https://klasma.github.io/Logging_0513/tillsynsmail/A 13899-2019.docx", "A 13899-2019")</f>
        <v/>
      </c>
    </row>
    <row r="188" ht="15" customHeight="1">
      <c r="A188" t="inlineStr">
        <is>
          <t>A 16378-2019</t>
        </is>
      </c>
      <c r="B188" s="1" t="n">
        <v>43546</v>
      </c>
      <c r="C188" s="1" t="n">
        <v>45211</v>
      </c>
      <c r="D188" t="inlineStr">
        <is>
          <t>ÖSTERGÖTLANDS LÄN</t>
        </is>
      </c>
      <c r="E188" t="inlineStr">
        <is>
          <t>NORRKÖPING</t>
        </is>
      </c>
      <c r="F188" t="inlineStr">
        <is>
          <t>BillerudKorsnäs AB</t>
        </is>
      </c>
      <c r="G188" t="n">
        <v>2.7</v>
      </c>
      <c r="H188" t="n">
        <v>1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s="2" t="inlineStr">
        <is>
          <t>Ekoxe</t>
        </is>
      </c>
      <c r="S188">
        <f>HYPERLINK("https://klasma.github.io/Logging_0581/artfynd/A 16378-2019.xlsx", "A 16378-2019")</f>
        <v/>
      </c>
      <c r="T188">
        <f>HYPERLINK("https://klasma.github.io/Logging_0581/kartor/A 16378-2019.png", "A 16378-2019")</f>
        <v/>
      </c>
      <c r="V188">
        <f>HYPERLINK("https://klasma.github.io/Logging_0581/klagomål/A 16378-2019.docx", "A 16378-2019")</f>
        <v/>
      </c>
      <c r="W188">
        <f>HYPERLINK("https://klasma.github.io/Logging_0581/klagomålsmail/A 16378-2019.docx", "A 16378-2019")</f>
        <v/>
      </c>
      <c r="X188">
        <f>HYPERLINK("https://klasma.github.io/Logging_0581/tillsyn/A 16378-2019.docx", "A 16378-2019")</f>
        <v/>
      </c>
      <c r="Y188">
        <f>HYPERLINK("https://klasma.github.io/Logging_0581/tillsynsmail/A 16378-2019.docx", "A 16378-2019")</f>
        <v/>
      </c>
    </row>
    <row r="189" ht="15" customHeight="1">
      <c r="A189" t="inlineStr">
        <is>
          <t>A 19407-2019</t>
        </is>
      </c>
      <c r="B189" s="1" t="n">
        <v>43565</v>
      </c>
      <c r="C189" s="1" t="n">
        <v>45211</v>
      </c>
      <c r="D189" t="inlineStr">
        <is>
          <t>ÖSTERGÖTLANDS LÄN</t>
        </is>
      </c>
      <c r="E189" t="inlineStr">
        <is>
          <t>FINSPÅNG</t>
        </is>
      </c>
      <c r="G189" t="n">
        <v>10.5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1</v>
      </c>
      <c r="R189" s="2" t="inlineStr">
        <is>
          <t>Ullticka</t>
        </is>
      </c>
      <c r="S189">
        <f>HYPERLINK("https://klasma.github.io/Logging_0562/artfynd/A 19407-2019.xlsx", "A 19407-2019")</f>
        <v/>
      </c>
      <c r="T189">
        <f>HYPERLINK("https://klasma.github.io/Logging_0562/kartor/A 19407-2019.png", "A 19407-2019")</f>
        <v/>
      </c>
      <c r="V189">
        <f>HYPERLINK("https://klasma.github.io/Logging_0562/klagomål/A 19407-2019.docx", "A 19407-2019")</f>
        <v/>
      </c>
      <c r="W189">
        <f>HYPERLINK("https://klasma.github.io/Logging_0562/klagomålsmail/A 19407-2019.docx", "A 19407-2019")</f>
        <v/>
      </c>
      <c r="X189">
        <f>HYPERLINK("https://klasma.github.io/Logging_0562/tillsyn/A 19407-2019.docx", "A 19407-2019")</f>
        <v/>
      </c>
      <c r="Y189">
        <f>HYPERLINK("https://klasma.github.io/Logging_0562/tillsynsmail/A 19407-2019.docx", "A 19407-2019")</f>
        <v/>
      </c>
    </row>
    <row r="190" ht="15" customHeight="1">
      <c r="A190" t="inlineStr">
        <is>
          <t>A 20149-2019</t>
        </is>
      </c>
      <c r="B190" s="1" t="n">
        <v>43570</v>
      </c>
      <c r="C190" s="1" t="n">
        <v>45211</v>
      </c>
      <c r="D190" t="inlineStr">
        <is>
          <t>ÖSTERGÖTLANDS LÄN</t>
        </is>
      </c>
      <c r="E190" t="inlineStr">
        <is>
          <t>VALDEMARSVIK</t>
        </is>
      </c>
      <c r="F190" t="inlineStr">
        <is>
          <t>Övriga Aktiebolag</t>
        </is>
      </c>
      <c r="G190" t="n">
        <v>4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1</v>
      </c>
      <c r="R190" s="2" t="inlineStr">
        <is>
          <t>Vippärt</t>
        </is>
      </c>
      <c r="S190">
        <f>HYPERLINK("https://klasma.github.io/Logging_0563/artfynd/A 20149-2019.xlsx", "A 20149-2019")</f>
        <v/>
      </c>
      <c r="T190">
        <f>HYPERLINK("https://klasma.github.io/Logging_0563/kartor/A 20149-2019.png", "A 20149-2019")</f>
        <v/>
      </c>
      <c r="V190">
        <f>HYPERLINK("https://klasma.github.io/Logging_0563/klagomål/A 20149-2019.docx", "A 20149-2019")</f>
        <v/>
      </c>
      <c r="W190">
        <f>HYPERLINK("https://klasma.github.io/Logging_0563/klagomålsmail/A 20149-2019.docx", "A 20149-2019")</f>
        <v/>
      </c>
      <c r="X190">
        <f>HYPERLINK("https://klasma.github.io/Logging_0563/tillsyn/A 20149-2019.docx", "A 20149-2019")</f>
        <v/>
      </c>
      <c r="Y190">
        <f>HYPERLINK("https://klasma.github.io/Logging_0563/tillsynsmail/A 20149-2019.docx", "A 20149-2019")</f>
        <v/>
      </c>
    </row>
    <row r="191" ht="15" customHeight="1">
      <c r="A191" t="inlineStr">
        <is>
          <t>A 22210-2019</t>
        </is>
      </c>
      <c r="B191" s="1" t="n">
        <v>43585</v>
      </c>
      <c r="C191" s="1" t="n">
        <v>45211</v>
      </c>
      <c r="D191" t="inlineStr">
        <is>
          <t>ÖSTERGÖTLANDS LÄN</t>
        </is>
      </c>
      <c r="E191" t="inlineStr">
        <is>
          <t>KINDA</t>
        </is>
      </c>
      <c r="G191" t="n">
        <v>6.5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1</v>
      </c>
      <c r="R191" s="2" t="inlineStr">
        <is>
          <t>Bergjohannesört</t>
        </is>
      </c>
      <c r="S191">
        <f>HYPERLINK("https://klasma.github.io/Logging_0513/artfynd/A 22210-2019.xlsx", "A 22210-2019")</f>
        <v/>
      </c>
      <c r="T191">
        <f>HYPERLINK("https://klasma.github.io/Logging_0513/kartor/A 22210-2019.png", "A 22210-2019")</f>
        <v/>
      </c>
      <c r="V191">
        <f>HYPERLINK("https://klasma.github.io/Logging_0513/klagomål/A 22210-2019.docx", "A 22210-2019")</f>
        <v/>
      </c>
      <c r="W191">
        <f>HYPERLINK("https://klasma.github.io/Logging_0513/klagomålsmail/A 22210-2019.docx", "A 22210-2019")</f>
        <v/>
      </c>
      <c r="X191">
        <f>HYPERLINK("https://klasma.github.io/Logging_0513/tillsyn/A 22210-2019.docx", "A 22210-2019")</f>
        <v/>
      </c>
      <c r="Y191">
        <f>HYPERLINK("https://klasma.github.io/Logging_0513/tillsynsmail/A 22210-2019.docx", "A 22210-2019")</f>
        <v/>
      </c>
    </row>
    <row r="192" ht="15" customHeight="1">
      <c r="A192" t="inlineStr">
        <is>
          <t>A 24547-2019</t>
        </is>
      </c>
      <c r="B192" s="1" t="n">
        <v>43600</v>
      </c>
      <c r="C192" s="1" t="n">
        <v>45211</v>
      </c>
      <c r="D192" t="inlineStr">
        <is>
          <t>ÖSTERGÖTLANDS LÄN</t>
        </is>
      </c>
      <c r="E192" t="inlineStr">
        <is>
          <t>FINSPÅNG</t>
        </is>
      </c>
      <c r="G192" t="n">
        <v>7.8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1</v>
      </c>
      <c r="P192" t="n">
        <v>1</v>
      </c>
      <c r="Q192" t="n">
        <v>1</v>
      </c>
      <c r="R192" s="2" t="inlineStr">
        <is>
          <t>Råglosta</t>
        </is>
      </c>
      <c r="S192">
        <f>HYPERLINK("https://klasma.github.io/Logging_0562/artfynd/A 24547-2019.xlsx", "A 24547-2019")</f>
        <v/>
      </c>
      <c r="T192">
        <f>HYPERLINK("https://klasma.github.io/Logging_0562/kartor/A 24547-2019.png", "A 24547-2019")</f>
        <v/>
      </c>
      <c r="V192">
        <f>HYPERLINK("https://klasma.github.io/Logging_0562/klagomål/A 24547-2019.docx", "A 24547-2019")</f>
        <v/>
      </c>
      <c r="W192">
        <f>HYPERLINK("https://klasma.github.io/Logging_0562/klagomålsmail/A 24547-2019.docx", "A 24547-2019")</f>
        <v/>
      </c>
      <c r="X192">
        <f>HYPERLINK("https://klasma.github.io/Logging_0562/tillsyn/A 24547-2019.docx", "A 24547-2019")</f>
        <v/>
      </c>
      <c r="Y192">
        <f>HYPERLINK("https://klasma.github.io/Logging_0562/tillsynsmail/A 24547-2019.docx", "A 24547-2019")</f>
        <v/>
      </c>
    </row>
    <row r="193" ht="15" customHeight="1">
      <c r="A193" t="inlineStr">
        <is>
          <t>A 24668-2019</t>
        </is>
      </c>
      <c r="B193" s="1" t="n">
        <v>43601</v>
      </c>
      <c r="C193" s="1" t="n">
        <v>45211</v>
      </c>
      <c r="D193" t="inlineStr">
        <is>
          <t>ÖSTERGÖTLANDS LÄN</t>
        </is>
      </c>
      <c r="E193" t="inlineStr">
        <is>
          <t>NORRKÖPING</t>
        </is>
      </c>
      <c r="F193" t="inlineStr">
        <is>
          <t>Allmännings- och besparingsskogar</t>
        </is>
      </c>
      <c r="G193" t="n">
        <v>9.4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s="2" t="inlineStr">
        <is>
          <t>Mattlummer</t>
        </is>
      </c>
      <c r="S193">
        <f>HYPERLINK("https://klasma.github.io/Logging_0581/artfynd/A 24668-2019.xlsx", "A 24668-2019")</f>
        <v/>
      </c>
      <c r="T193">
        <f>HYPERLINK("https://klasma.github.io/Logging_0581/kartor/A 24668-2019.png", "A 24668-2019")</f>
        <v/>
      </c>
      <c r="V193">
        <f>HYPERLINK("https://klasma.github.io/Logging_0581/klagomål/A 24668-2019.docx", "A 24668-2019")</f>
        <v/>
      </c>
      <c r="W193">
        <f>HYPERLINK("https://klasma.github.io/Logging_0581/klagomålsmail/A 24668-2019.docx", "A 24668-2019")</f>
        <v/>
      </c>
      <c r="X193">
        <f>HYPERLINK("https://klasma.github.io/Logging_0581/tillsyn/A 24668-2019.docx", "A 24668-2019")</f>
        <v/>
      </c>
      <c r="Y193">
        <f>HYPERLINK("https://klasma.github.io/Logging_0581/tillsynsmail/A 24668-2019.docx", "A 24668-2019")</f>
        <v/>
      </c>
    </row>
    <row r="194" ht="15" customHeight="1">
      <c r="A194" t="inlineStr">
        <is>
          <t>A 24841-2019</t>
        </is>
      </c>
      <c r="B194" s="1" t="n">
        <v>43602</v>
      </c>
      <c r="C194" s="1" t="n">
        <v>45211</v>
      </c>
      <c r="D194" t="inlineStr">
        <is>
          <t>ÖSTERGÖTLANDS LÄN</t>
        </is>
      </c>
      <c r="E194" t="inlineStr">
        <is>
          <t>NORRKÖPING</t>
        </is>
      </c>
      <c r="G194" t="n">
        <v>7.4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s="2" t="inlineStr">
        <is>
          <t>Tallticka</t>
        </is>
      </c>
      <c r="S194">
        <f>HYPERLINK("https://klasma.github.io/Logging_0581/artfynd/A 24841-2019.xlsx", "A 24841-2019")</f>
        <v/>
      </c>
      <c r="T194">
        <f>HYPERLINK("https://klasma.github.io/Logging_0581/kartor/A 24841-2019.png", "A 24841-2019")</f>
        <v/>
      </c>
      <c r="V194">
        <f>HYPERLINK("https://klasma.github.io/Logging_0581/klagomål/A 24841-2019.docx", "A 24841-2019")</f>
        <v/>
      </c>
      <c r="W194">
        <f>HYPERLINK("https://klasma.github.io/Logging_0581/klagomålsmail/A 24841-2019.docx", "A 24841-2019")</f>
        <v/>
      </c>
      <c r="X194">
        <f>HYPERLINK("https://klasma.github.io/Logging_0581/tillsyn/A 24841-2019.docx", "A 24841-2019")</f>
        <v/>
      </c>
      <c r="Y194">
        <f>HYPERLINK("https://klasma.github.io/Logging_0581/tillsynsmail/A 24841-2019.docx", "A 24841-2019")</f>
        <v/>
      </c>
    </row>
    <row r="195" ht="15" customHeight="1">
      <c r="A195" t="inlineStr">
        <is>
          <t>A 25312-2019</t>
        </is>
      </c>
      <c r="B195" s="1" t="n">
        <v>43606</v>
      </c>
      <c r="C195" s="1" t="n">
        <v>45211</v>
      </c>
      <c r="D195" t="inlineStr">
        <is>
          <t>ÖSTERGÖTLANDS LÄN</t>
        </is>
      </c>
      <c r="E195" t="inlineStr">
        <is>
          <t>BOXHOLM</t>
        </is>
      </c>
      <c r="F195" t="inlineStr">
        <is>
          <t>Övriga Aktiebolag</t>
        </is>
      </c>
      <c r="G195" t="n">
        <v>9.6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s="2" t="inlineStr">
        <is>
          <t>Revlummer</t>
        </is>
      </c>
      <c r="S195">
        <f>HYPERLINK("https://klasma.github.io/Logging_0560/artfynd/A 25312-2019.xlsx", "A 25312-2019")</f>
        <v/>
      </c>
      <c r="T195">
        <f>HYPERLINK("https://klasma.github.io/Logging_0560/kartor/A 25312-2019.png", "A 25312-2019")</f>
        <v/>
      </c>
      <c r="V195">
        <f>HYPERLINK("https://klasma.github.io/Logging_0560/klagomål/A 25312-2019.docx", "A 25312-2019")</f>
        <v/>
      </c>
      <c r="W195">
        <f>HYPERLINK("https://klasma.github.io/Logging_0560/klagomålsmail/A 25312-2019.docx", "A 25312-2019")</f>
        <v/>
      </c>
      <c r="X195">
        <f>HYPERLINK("https://klasma.github.io/Logging_0560/tillsyn/A 25312-2019.docx", "A 25312-2019")</f>
        <v/>
      </c>
      <c r="Y195">
        <f>HYPERLINK("https://klasma.github.io/Logging_0560/tillsynsmail/A 25312-2019.docx", "A 25312-2019")</f>
        <v/>
      </c>
    </row>
    <row r="196" ht="15" customHeight="1">
      <c r="A196" t="inlineStr">
        <is>
          <t>A 26223-2019</t>
        </is>
      </c>
      <c r="B196" s="1" t="n">
        <v>43609</v>
      </c>
      <c r="C196" s="1" t="n">
        <v>45211</v>
      </c>
      <c r="D196" t="inlineStr">
        <is>
          <t>ÖSTERGÖTLANDS LÄN</t>
        </is>
      </c>
      <c r="E196" t="inlineStr">
        <is>
          <t>FINSPÅNG</t>
        </is>
      </c>
      <c r="G196" t="n">
        <v>6.6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1</v>
      </c>
      <c r="P196" t="n">
        <v>1</v>
      </c>
      <c r="Q196" t="n">
        <v>1</v>
      </c>
      <c r="R196" s="2" t="inlineStr">
        <is>
          <t>Råglosta</t>
        </is>
      </c>
      <c r="S196">
        <f>HYPERLINK("https://klasma.github.io/Logging_0562/artfynd/A 26223-2019.xlsx", "A 26223-2019")</f>
        <v/>
      </c>
      <c r="T196">
        <f>HYPERLINK("https://klasma.github.io/Logging_0562/kartor/A 26223-2019.png", "A 26223-2019")</f>
        <v/>
      </c>
      <c r="V196">
        <f>HYPERLINK("https://klasma.github.io/Logging_0562/klagomål/A 26223-2019.docx", "A 26223-2019")</f>
        <v/>
      </c>
      <c r="W196">
        <f>HYPERLINK("https://klasma.github.io/Logging_0562/klagomålsmail/A 26223-2019.docx", "A 26223-2019")</f>
        <v/>
      </c>
      <c r="X196">
        <f>HYPERLINK("https://klasma.github.io/Logging_0562/tillsyn/A 26223-2019.docx", "A 26223-2019")</f>
        <v/>
      </c>
      <c r="Y196">
        <f>HYPERLINK("https://klasma.github.io/Logging_0562/tillsynsmail/A 26223-2019.docx", "A 26223-2019")</f>
        <v/>
      </c>
    </row>
    <row r="197" ht="15" customHeight="1">
      <c r="A197" t="inlineStr">
        <is>
          <t>A 26227-2019</t>
        </is>
      </c>
      <c r="B197" s="1" t="n">
        <v>43609</v>
      </c>
      <c r="C197" s="1" t="n">
        <v>45211</v>
      </c>
      <c r="D197" t="inlineStr">
        <is>
          <t>ÖSTERGÖTLANDS LÄN</t>
        </is>
      </c>
      <c r="E197" t="inlineStr">
        <is>
          <t>FINSPÅNG</t>
        </is>
      </c>
      <c r="G197" t="n">
        <v>4.1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1</v>
      </c>
      <c r="P197" t="n">
        <v>1</v>
      </c>
      <c r="Q197" t="n">
        <v>1</v>
      </c>
      <c r="R197" s="2" t="inlineStr">
        <is>
          <t>Råglosta</t>
        </is>
      </c>
      <c r="S197">
        <f>HYPERLINK("https://klasma.github.io/Logging_0562/artfynd/A 26227-2019.xlsx", "A 26227-2019")</f>
        <v/>
      </c>
      <c r="T197">
        <f>HYPERLINK("https://klasma.github.io/Logging_0562/kartor/A 26227-2019.png", "A 26227-2019")</f>
        <v/>
      </c>
      <c r="V197">
        <f>HYPERLINK("https://klasma.github.io/Logging_0562/klagomål/A 26227-2019.docx", "A 26227-2019")</f>
        <v/>
      </c>
      <c r="W197">
        <f>HYPERLINK("https://klasma.github.io/Logging_0562/klagomålsmail/A 26227-2019.docx", "A 26227-2019")</f>
        <v/>
      </c>
      <c r="X197">
        <f>HYPERLINK("https://klasma.github.io/Logging_0562/tillsyn/A 26227-2019.docx", "A 26227-2019")</f>
        <v/>
      </c>
      <c r="Y197">
        <f>HYPERLINK("https://klasma.github.io/Logging_0562/tillsynsmail/A 26227-2019.docx", "A 26227-2019")</f>
        <v/>
      </c>
    </row>
    <row r="198" ht="15" customHeight="1">
      <c r="A198" t="inlineStr">
        <is>
          <t>A 30060-2019</t>
        </is>
      </c>
      <c r="B198" s="1" t="n">
        <v>43633</v>
      </c>
      <c r="C198" s="1" t="n">
        <v>45211</v>
      </c>
      <c r="D198" t="inlineStr">
        <is>
          <t>ÖSTERGÖTLANDS LÄN</t>
        </is>
      </c>
      <c r="E198" t="inlineStr">
        <is>
          <t>MOTALA</t>
        </is>
      </c>
      <c r="F198" t="inlineStr">
        <is>
          <t>Övriga statliga verk och myndigheter</t>
        </is>
      </c>
      <c r="G198" t="n">
        <v>7.5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1</v>
      </c>
      <c r="R198" s="2" t="inlineStr">
        <is>
          <t>Skogsklocka</t>
        </is>
      </c>
      <c r="S198">
        <f>HYPERLINK("https://klasma.github.io/Logging_0583/artfynd/A 30060-2019.xlsx", "A 30060-2019")</f>
        <v/>
      </c>
      <c r="T198">
        <f>HYPERLINK("https://klasma.github.io/Logging_0583/kartor/A 30060-2019.png", "A 30060-2019")</f>
        <v/>
      </c>
      <c r="V198">
        <f>HYPERLINK("https://klasma.github.io/Logging_0583/klagomål/A 30060-2019.docx", "A 30060-2019")</f>
        <v/>
      </c>
      <c r="W198">
        <f>HYPERLINK("https://klasma.github.io/Logging_0583/klagomålsmail/A 30060-2019.docx", "A 30060-2019")</f>
        <v/>
      </c>
      <c r="X198">
        <f>HYPERLINK("https://klasma.github.io/Logging_0583/tillsyn/A 30060-2019.docx", "A 30060-2019")</f>
        <v/>
      </c>
      <c r="Y198">
        <f>HYPERLINK("https://klasma.github.io/Logging_0583/tillsynsmail/A 30060-2019.docx", "A 30060-2019")</f>
        <v/>
      </c>
    </row>
    <row r="199" ht="15" customHeight="1">
      <c r="A199" t="inlineStr">
        <is>
          <t>A 30229-2019</t>
        </is>
      </c>
      <c r="B199" s="1" t="n">
        <v>43633</v>
      </c>
      <c r="C199" s="1" t="n">
        <v>45211</v>
      </c>
      <c r="D199" t="inlineStr">
        <is>
          <t>ÖSTERGÖTLANDS LÄN</t>
        </is>
      </c>
      <c r="E199" t="inlineStr">
        <is>
          <t>FINSPÅNG</t>
        </is>
      </c>
      <c r="G199" t="n">
        <v>5.4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1</v>
      </c>
      <c r="P199" t="n">
        <v>1</v>
      </c>
      <c r="Q199" t="n">
        <v>1</v>
      </c>
      <c r="R199" s="2" t="inlineStr">
        <is>
          <t>Ask</t>
        </is>
      </c>
      <c r="S199">
        <f>HYPERLINK("https://klasma.github.io/Logging_0562/artfynd/A 30229-2019.xlsx", "A 30229-2019")</f>
        <v/>
      </c>
      <c r="T199">
        <f>HYPERLINK("https://klasma.github.io/Logging_0562/kartor/A 30229-2019.png", "A 30229-2019")</f>
        <v/>
      </c>
      <c r="V199">
        <f>HYPERLINK("https://klasma.github.io/Logging_0562/klagomål/A 30229-2019.docx", "A 30229-2019")</f>
        <v/>
      </c>
      <c r="W199">
        <f>HYPERLINK("https://klasma.github.io/Logging_0562/klagomålsmail/A 30229-2019.docx", "A 30229-2019")</f>
        <v/>
      </c>
      <c r="X199">
        <f>HYPERLINK("https://klasma.github.io/Logging_0562/tillsyn/A 30229-2019.docx", "A 30229-2019")</f>
        <v/>
      </c>
      <c r="Y199">
        <f>HYPERLINK("https://klasma.github.io/Logging_0562/tillsynsmail/A 30229-2019.docx", "A 30229-2019")</f>
        <v/>
      </c>
    </row>
    <row r="200" ht="15" customHeight="1">
      <c r="A200" t="inlineStr">
        <is>
          <t>A 30987-2019</t>
        </is>
      </c>
      <c r="B200" s="1" t="n">
        <v>43640</v>
      </c>
      <c r="C200" s="1" t="n">
        <v>45211</v>
      </c>
      <c r="D200" t="inlineStr">
        <is>
          <t>ÖSTERGÖTLANDS LÄN</t>
        </is>
      </c>
      <c r="E200" t="inlineStr">
        <is>
          <t>NORRKÖPING</t>
        </is>
      </c>
      <c r="F200" t="inlineStr">
        <is>
          <t>Allmännings- och besparingsskogar</t>
        </is>
      </c>
      <c r="G200" t="n">
        <v>1.9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1</v>
      </c>
      <c r="R200" s="2" t="inlineStr">
        <is>
          <t>Svinrot</t>
        </is>
      </c>
      <c r="S200">
        <f>HYPERLINK("https://klasma.github.io/Logging_0581/artfynd/A 30987-2019.xlsx", "A 30987-2019")</f>
        <v/>
      </c>
      <c r="T200">
        <f>HYPERLINK("https://klasma.github.io/Logging_0581/kartor/A 30987-2019.png", "A 30987-2019")</f>
        <v/>
      </c>
      <c r="V200">
        <f>HYPERLINK("https://klasma.github.io/Logging_0581/klagomål/A 30987-2019.docx", "A 30987-2019")</f>
        <v/>
      </c>
      <c r="W200">
        <f>HYPERLINK("https://klasma.github.io/Logging_0581/klagomålsmail/A 30987-2019.docx", "A 30987-2019")</f>
        <v/>
      </c>
      <c r="X200">
        <f>HYPERLINK("https://klasma.github.io/Logging_0581/tillsyn/A 30987-2019.docx", "A 30987-2019")</f>
        <v/>
      </c>
      <c r="Y200">
        <f>HYPERLINK("https://klasma.github.io/Logging_0581/tillsynsmail/A 30987-2019.docx", "A 30987-2019")</f>
        <v/>
      </c>
    </row>
    <row r="201" ht="15" customHeight="1">
      <c r="A201" t="inlineStr">
        <is>
          <t>A 34632-2019</t>
        </is>
      </c>
      <c r="B201" s="1" t="n">
        <v>43657</v>
      </c>
      <c r="C201" s="1" t="n">
        <v>45211</v>
      </c>
      <c r="D201" t="inlineStr">
        <is>
          <t>ÖSTERGÖTLANDS LÄN</t>
        </is>
      </c>
      <c r="E201" t="inlineStr">
        <is>
          <t>FINSPÅNG</t>
        </is>
      </c>
      <c r="F201" t="inlineStr">
        <is>
          <t>Holmen skog AB</t>
        </is>
      </c>
      <c r="G201" t="n">
        <v>1.3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s="2" t="inlineStr">
        <is>
          <t>Mattlummer</t>
        </is>
      </c>
      <c r="S201">
        <f>HYPERLINK("https://klasma.github.io/Logging_0562/artfynd/A 34632-2019.xlsx", "A 34632-2019")</f>
        <v/>
      </c>
      <c r="T201">
        <f>HYPERLINK("https://klasma.github.io/Logging_0562/kartor/A 34632-2019.png", "A 34632-2019")</f>
        <v/>
      </c>
      <c r="V201">
        <f>HYPERLINK("https://klasma.github.io/Logging_0562/klagomål/A 34632-2019.docx", "A 34632-2019")</f>
        <v/>
      </c>
      <c r="W201">
        <f>HYPERLINK("https://klasma.github.io/Logging_0562/klagomålsmail/A 34632-2019.docx", "A 34632-2019")</f>
        <v/>
      </c>
      <c r="X201">
        <f>HYPERLINK("https://klasma.github.io/Logging_0562/tillsyn/A 34632-2019.docx", "A 34632-2019")</f>
        <v/>
      </c>
      <c r="Y201">
        <f>HYPERLINK("https://klasma.github.io/Logging_0562/tillsynsmail/A 34632-2019.docx", "A 34632-2019")</f>
        <v/>
      </c>
    </row>
    <row r="202" ht="15" customHeight="1">
      <c r="A202" t="inlineStr">
        <is>
          <t>A 35863-2019</t>
        </is>
      </c>
      <c r="B202" s="1" t="n">
        <v>43665</v>
      </c>
      <c r="C202" s="1" t="n">
        <v>45211</v>
      </c>
      <c r="D202" t="inlineStr">
        <is>
          <t>ÖSTERGÖTLANDS LÄN</t>
        </is>
      </c>
      <c r="E202" t="inlineStr">
        <is>
          <t>YDRE</t>
        </is>
      </c>
      <c r="G202" t="n">
        <v>10.3</v>
      </c>
      <c r="H202" t="n">
        <v>1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1</v>
      </c>
      <c r="P202" t="n">
        <v>1</v>
      </c>
      <c r="Q202" t="n">
        <v>1</v>
      </c>
      <c r="R202" s="2" t="inlineStr">
        <is>
          <t>Knärot</t>
        </is>
      </c>
      <c r="S202">
        <f>HYPERLINK("https://klasma.github.io/Logging_0512/artfynd/A 35863-2019.xlsx", "A 35863-2019")</f>
        <v/>
      </c>
      <c r="T202">
        <f>HYPERLINK("https://klasma.github.io/Logging_0512/kartor/A 35863-2019.png", "A 35863-2019")</f>
        <v/>
      </c>
      <c r="U202">
        <f>HYPERLINK("https://klasma.github.io/Logging_0512/knärot/A 35863-2019.png", "A 35863-2019")</f>
        <v/>
      </c>
      <c r="V202">
        <f>HYPERLINK("https://klasma.github.io/Logging_0512/klagomål/A 35863-2019.docx", "A 35863-2019")</f>
        <v/>
      </c>
      <c r="W202">
        <f>HYPERLINK("https://klasma.github.io/Logging_0512/klagomålsmail/A 35863-2019.docx", "A 35863-2019")</f>
        <v/>
      </c>
      <c r="X202">
        <f>HYPERLINK("https://klasma.github.io/Logging_0512/tillsyn/A 35863-2019.docx", "A 35863-2019")</f>
        <v/>
      </c>
      <c r="Y202">
        <f>HYPERLINK("https://klasma.github.io/Logging_0512/tillsynsmail/A 35863-2019.docx", "A 35863-2019")</f>
        <v/>
      </c>
    </row>
    <row r="203" ht="15" customHeight="1">
      <c r="A203" t="inlineStr">
        <is>
          <t>A 43518-2019</t>
        </is>
      </c>
      <c r="B203" s="1" t="n">
        <v>43706</v>
      </c>
      <c r="C203" s="1" t="n">
        <v>45211</v>
      </c>
      <c r="D203" t="inlineStr">
        <is>
          <t>ÖSTERGÖTLANDS LÄN</t>
        </is>
      </c>
      <c r="E203" t="inlineStr">
        <is>
          <t>LINKÖPING</t>
        </is>
      </c>
      <c r="G203" t="n">
        <v>8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s="2" t="inlineStr">
        <is>
          <t>Rävticka</t>
        </is>
      </c>
      <c r="S203">
        <f>HYPERLINK("https://klasma.github.io/Logging_0580/artfynd/A 43518-2019.xlsx", "A 43518-2019")</f>
        <v/>
      </c>
      <c r="T203">
        <f>HYPERLINK("https://klasma.github.io/Logging_0580/kartor/A 43518-2019.png", "A 43518-2019")</f>
        <v/>
      </c>
      <c r="V203">
        <f>HYPERLINK("https://klasma.github.io/Logging_0580/klagomål/A 43518-2019.docx", "A 43518-2019")</f>
        <v/>
      </c>
      <c r="W203">
        <f>HYPERLINK("https://klasma.github.io/Logging_0580/klagomålsmail/A 43518-2019.docx", "A 43518-2019")</f>
        <v/>
      </c>
      <c r="X203">
        <f>HYPERLINK("https://klasma.github.io/Logging_0580/tillsyn/A 43518-2019.docx", "A 43518-2019")</f>
        <v/>
      </c>
      <c r="Y203">
        <f>HYPERLINK("https://klasma.github.io/Logging_0580/tillsynsmail/A 43518-2019.docx", "A 43518-2019")</f>
        <v/>
      </c>
    </row>
    <row r="204" ht="15" customHeight="1">
      <c r="A204" t="inlineStr">
        <is>
          <t>A 49148-2019</t>
        </is>
      </c>
      <c r="B204" s="1" t="n">
        <v>43731</v>
      </c>
      <c r="C204" s="1" t="n">
        <v>45211</v>
      </c>
      <c r="D204" t="inlineStr">
        <is>
          <t>ÖSTERGÖTLANDS LÄN</t>
        </is>
      </c>
      <c r="E204" t="inlineStr">
        <is>
          <t>LINKÖPING</t>
        </is>
      </c>
      <c r="G204" t="n">
        <v>11.6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1</v>
      </c>
      <c r="R204" s="2" t="inlineStr">
        <is>
          <t>Tallticka</t>
        </is>
      </c>
      <c r="S204">
        <f>HYPERLINK("https://klasma.github.io/Logging_0580/artfynd/A 49148-2019.xlsx", "A 49148-2019")</f>
        <v/>
      </c>
      <c r="T204">
        <f>HYPERLINK("https://klasma.github.io/Logging_0580/kartor/A 49148-2019.png", "A 49148-2019")</f>
        <v/>
      </c>
      <c r="V204">
        <f>HYPERLINK("https://klasma.github.io/Logging_0580/klagomål/A 49148-2019.docx", "A 49148-2019")</f>
        <v/>
      </c>
      <c r="W204">
        <f>HYPERLINK("https://klasma.github.io/Logging_0580/klagomålsmail/A 49148-2019.docx", "A 49148-2019")</f>
        <v/>
      </c>
      <c r="X204">
        <f>HYPERLINK("https://klasma.github.io/Logging_0580/tillsyn/A 49148-2019.docx", "A 49148-2019")</f>
        <v/>
      </c>
      <c r="Y204">
        <f>HYPERLINK("https://klasma.github.io/Logging_0580/tillsynsmail/A 49148-2019.docx", "A 49148-2019")</f>
        <v/>
      </c>
    </row>
    <row r="205" ht="15" customHeight="1">
      <c r="A205" t="inlineStr">
        <is>
          <t>A 49427-2019</t>
        </is>
      </c>
      <c r="B205" s="1" t="n">
        <v>43732</v>
      </c>
      <c r="C205" s="1" t="n">
        <v>45211</v>
      </c>
      <c r="D205" t="inlineStr">
        <is>
          <t>ÖSTERGÖTLANDS LÄN</t>
        </is>
      </c>
      <c r="E205" t="inlineStr">
        <is>
          <t>MJÖLBY</t>
        </is>
      </c>
      <c r="G205" t="n">
        <v>1.4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s="2" t="inlineStr">
        <is>
          <t>Revlummer</t>
        </is>
      </c>
      <c r="S205">
        <f>HYPERLINK("https://klasma.github.io/Logging_0586/artfynd/A 49427-2019.xlsx", "A 49427-2019")</f>
        <v/>
      </c>
      <c r="T205">
        <f>HYPERLINK("https://klasma.github.io/Logging_0586/kartor/A 49427-2019.png", "A 49427-2019")</f>
        <v/>
      </c>
      <c r="V205">
        <f>HYPERLINK("https://klasma.github.io/Logging_0586/klagomål/A 49427-2019.docx", "A 49427-2019")</f>
        <v/>
      </c>
      <c r="W205">
        <f>HYPERLINK("https://klasma.github.io/Logging_0586/klagomålsmail/A 49427-2019.docx", "A 49427-2019")</f>
        <v/>
      </c>
      <c r="X205">
        <f>HYPERLINK("https://klasma.github.io/Logging_0586/tillsyn/A 49427-2019.docx", "A 49427-2019")</f>
        <v/>
      </c>
      <c r="Y205">
        <f>HYPERLINK("https://klasma.github.io/Logging_0586/tillsynsmail/A 49427-2019.docx", "A 49427-2019")</f>
        <v/>
      </c>
    </row>
    <row r="206" ht="15" customHeight="1">
      <c r="A206" t="inlineStr">
        <is>
          <t>A 49556-2019</t>
        </is>
      </c>
      <c r="B206" s="1" t="n">
        <v>43732</v>
      </c>
      <c r="C206" s="1" t="n">
        <v>45211</v>
      </c>
      <c r="D206" t="inlineStr">
        <is>
          <t>ÖSTERGÖTLANDS LÄN</t>
        </is>
      </c>
      <c r="E206" t="inlineStr">
        <is>
          <t>LINKÖPING</t>
        </is>
      </c>
      <c r="F206" t="inlineStr">
        <is>
          <t>Övriga statliga verk och myndigheter</t>
        </is>
      </c>
      <c r="G206" t="n">
        <v>2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s="2" t="inlineStr">
        <is>
          <t>Bronshjon</t>
        </is>
      </c>
      <c r="S206">
        <f>HYPERLINK("https://klasma.github.io/Logging_0580/artfynd/A 49556-2019.xlsx", "A 49556-2019")</f>
        <v/>
      </c>
      <c r="T206">
        <f>HYPERLINK("https://klasma.github.io/Logging_0580/kartor/A 49556-2019.png", "A 49556-2019")</f>
        <v/>
      </c>
      <c r="V206">
        <f>HYPERLINK("https://klasma.github.io/Logging_0580/klagomål/A 49556-2019.docx", "A 49556-2019")</f>
        <v/>
      </c>
      <c r="W206">
        <f>HYPERLINK("https://klasma.github.io/Logging_0580/klagomålsmail/A 49556-2019.docx", "A 49556-2019")</f>
        <v/>
      </c>
      <c r="X206">
        <f>HYPERLINK("https://klasma.github.io/Logging_0580/tillsyn/A 49556-2019.docx", "A 49556-2019")</f>
        <v/>
      </c>
      <c r="Y206">
        <f>HYPERLINK("https://klasma.github.io/Logging_0580/tillsynsmail/A 49556-2019.docx", "A 49556-2019")</f>
        <v/>
      </c>
    </row>
    <row r="207" ht="15" customHeight="1">
      <c r="A207" t="inlineStr">
        <is>
          <t>A 49510-2019</t>
        </is>
      </c>
      <c r="B207" s="1" t="n">
        <v>43732</v>
      </c>
      <c r="C207" s="1" t="n">
        <v>45211</v>
      </c>
      <c r="D207" t="inlineStr">
        <is>
          <t>ÖSTERGÖTLANDS LÄN</t>
        </is>
      </c>
      <c r="E207" t="inlineStr">
        <is>
          <t>BOXHOLM</t>
        </is>
      </c>
      <c r="F207" t="inlineStr">
        <is>
          <t>Övriga Aktiebolag</t>
        </is>
      </c>
      <c r="G207" t="n">
        <v>3.2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s="2" t="inlineStr">
        <is>
          <t>Skogsklocka</t>
        </is>
      </c>
      <c r="S207">
        <f>HYPERLINK("https://klasma.github.io/Logging_0560/artfynd/A 49510-2019.xlsx", "A 49510-2019")</f>
        <v/>
      </c>
      <c r="T207">
        <f>HYPERLINK("https://klasma.github.io/Logging_0560/kartor/A 49510-2019.png", "A 49510-2019")</f>
        <v/>
      </c>
      <c r="V207">
        <f>HYPERLINK("https://klasma.github.io/Logging_0560/klagomål/A 49510-2019.docx", "A 49510-2019")</f>
        <v/>
      </c>
      <c r="W207">
        <f>HYPERLINK("https://klasma.github.io/Logging_0560/klagomålsmail/A 49510-2019.docx", "A 49510-2019")</f>
        <v/>
      </c>
      <c r="X207">
        <f>HYPERLINK("https://klasma.github.io/Logging_0560/tillsyn/A 49510-2019.docx", "A 49510-2019")</f>
        <v/>
      </c>
      <c r="Y207">
        <f>HYPERLINK("https://klasma.github.io/Logging_0560/tillsynsmail/A 49510-2019.docx", "A 49510-2019")</f>
        <v/>
      </c>
    </row>
    <row r="208" ht="15" customHeight="1">
      <c r="A208" t="inlineStr">
        <is>
          <t>A 54164-2019</t>
        </is>
      </c>
      <c r="B208" s="1" t="n">
        <v>43752</v>
      </c>
      <c r="C208" s="1" t="n">
        <v>45211</v>
      </c>
      <c r="D208" t="inlineStr">
        <is>
          <t>ÖSTERGÖTLANDS LÄN</t>
        </is>
      </c>
      <c r="E208" t="inlineStr">
        <is>
          <t>LINKÖPING</t>
        </is>
      </c>
      <c r="G208" t="n">
        <v>4.1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1</v>
      </c>
      <c r="P208" t="n">
        <v>1</v>
      </c>
      <c r="Q208" t="n">
        <v>1</v>
      </c>
      <c r="R208" s="2" t="inlineStr">
        <is>
          <t>Ask</t>
        </is>
      </c>
      <c r="S208">
        <f>HYPERLINK("https://klasma.github.io/Logging_0580/artfynd/A 54164-2019.xlsx", "A 54164-2019")</f>
        <v/>
      </c>
      <c r="T208">
        <f>HYPERLINK("https://klasma.github.io/Logging_0580/kartor/A 54164-2019.png", "A 54164-2019")</f>
        <v/>
      </c>
      <c r="V208">
        <f>HYPERLINK("https://klasma.github.io/Logging_0580/klagomål/A 54164-2019.docx", "A 54164-2019")</f>
        <v/>
      </c>
      <c r="W208">
        <f>HYPERLINK("https://klasma.github.io/Logging_0580/klagomålsmail/A 54164-2019.docx", "A 54164-2019")</f>
        <v/>
      </c>
      <c r="X208">
        <f>HYPERLINK("https://klasma.github.io/Logging_0580/tillsyn/A 54164-2019.docx", "A 54164-2019")</f>
        <v/>
      </c>
      <c r="Y208">
        <f>HYPERLINK("https://klasma.github.io/Logging_0580/tillsynsmail/A 54164-2019.docx", "A 54164-2019")</f>
        <v/>
      </c>
    </row>
    <row r="209" ht="15" customHeight="1">
      <c r="A209" t="inlineStr">
        <is>
          <t>A 55658-2019</t>
        </is>
      </c>
      <c r="B209" s="1" t="n">
        <v>43760</v>
      </c>
      <c r="C209" s="1" t="n">
        <v>45211</v>
      </c>
      <c r="D209" t="inlineStr">
        <is>
          <t>ÖSTERGÖTLANDS LÄN</t>
        </is>
      </c>
      <c r="E209" t="inlineStr">
        <is>
          <t>FINSPÅNG</t>
        </is>
      </c>
      <c r="G209" t="n">
        <v>8.4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  <c r="P209" t="n">
        <v>1</v>
      </c>
      <c r="Q209" t="n">
        <v>1</v>
      </c>
      <c r="R209" s="2" t="inlineStr">
        <is>
          <t>Raggbock</t>
        </is>
      </c>
      <c r="S209">
        <f>HYPERLINK("https://klasma.github.io/Logging_0562/artfynd/A 55658-2019.xlsx", "A 55658-2019")</f>
        <v/>
      </c>
      <c r="T209">
        <f>HYPERLINK("https://klasma.github.io/Logging_0562/kartor/A 55658-2019.png", "A 55658-2019")</f>
        <v/>
      </c>
      <c r="V209">
        <f>HYPERLINK("https://klasma.github.io/Logging_0562/klagomål/A 55658-2019.docx", "A 55658-2019")</f>
        <v/>
      </c>
      <c r="W209">
        <f>HYPERLINK("https://klasma.github.io/Logging_0562/klagomålsmail/A 55658-2019.docx", "A 55658-2019")</f>
        <v/>
      </c>
      <c r="X209">
        <f>HYPERLINK("https://klasma.github.io/Logging_0562/tillsyn/A 55658-2019.docx", "A 55658-2019")</f>
        <v/>
      </c>
      <c r="Y209">
        <f>HYPERLINK("https://klasma.github.io/Logging_0562/tillsynsmail/A 55658-2019.docx", "A 55658-2019")</f>
        <v/>
      </c>
    </row>
    <row r="210" ht="15" customHeight="1">
      <c r="A210" t="inlineStr">
        <is>
          <t>A 61702-2019</t>
        </is>
      </c>
      <c r="B210" s="1" t="n">
        <v>43784</v>
      </c>
      <c r="C210" s="1" t="n">
        <v>45211</v>
      </c>
      <c r="D210" t="inlineStr">
        <is>
          <t>ÖSTERGÖTLANDS LÄN</t>
        </is>
      </c>
      <c r="E210" t="inlineStr">
        <is>
          <t>LINKÖPING</t>
        </is>
      </c>
      <c r="G210" t="n">
        <v>15.2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1</v>
      </c>
      <c r="R210" s="2" t="inlineStr">
        <is>
          <t>Kandelabersvamp</t>
        </is>
      </c>
      <c r="S210">
        <f>HYPERLINK("https://klasma.github.io/Logging_0580/artfynd/A 61702-2019.xlsx", "A 61702-2019")</f>
        <v/>
      </c>
      <c r="T210">
        <f>HYPERLINK("https://klasma.github.io/Logging_0580/kartor/A 61702-2019.png", "A 61702-2019")</f>
        <v/>
      </c>
      <c r="V210">
        <f>HYPERLINK("https://klasma.github.io/Logging_0580/klagomål/A 61702-2019.docx", "A 61702-2019")</f>
        <v/>
      </c>
      <c r="W210">
        <f>HYPERLINK("https://klasma.github.io/Logging_0580/klagomålsmail/A 61702-2019.docx", "A 61702-2019")</f>
        <v/>
      </c>
      <c r="X210">
        <f>HYPERLINK("https://klasma.github.io/Logging_0580/tillsyn/A 61702-2019.docx", "A 61702-2019")</f>
        <v/>
      </c>
      <c r="Y210">
        <f>HYPERLINK("https://klasma.github.io/Logging_0580/tillsynsmail/A 61702-2019.docx", "A 61702-2019")</f>
        <v/>
      </c>
    </row>
    <row r="211" ht="15" customHeight="1">
      <c r="A211" t="inlineStr">
        <is>
          <t>A 66093-2019</t>
        </is>
      </c>
      <c r="B211" s="1" t="n">
        <v>43807</v>
      </c>
      <c r="C211" s="1" t="n">
        <v>45211</v>
      </c>
      <c r="D211" t="inlineStr">
        <is>
          <t>ÖSTERGÖTLANDS LÄN</t>
        </is>
      </c>
      <c r="E211" t="inlineStr">
        <is>
          <t>KINDA</t>
        </is>
      </c>
      <c r="G211" t="n">
        <v>3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s="2" t="inlineStr">
        <is>
          <t>Grönpyrola</t>
        </is>
      </c>
      <c r="S211">
        <f>HYPERLINK("https://klasma.github.io/Logging_0513/artfynd/A 66093-2019.xlsx", "A 66093-2019")</f>
        <v/>
      </c>
      <c r="T211">
        <f>HYPERLINK("https://klasma.github.io/Logging_0513/kartor/A 66093-2019.png", "A 66093-2019")</f>
        <v/>
      </c>
      <c r="V211">
        <f>HYPERLINK("https://klasma.github.io/Logging_0513/klagomål/A 66093-2019.docx", "A 66093-2019")</f>
        <v/>
      </c>
      <c r="W211">
        <f>HYPERLINK("https://klasma.github.io/Logging_0513/klagomålsmail/A 66093-2019.docx", "A 66093-2019")</f>
        <v/>
      </c>
      <c r="X211">
        <f>HYPERLINK("https://klasma.github.io/Logging_0513/tillsyn/A 66093-2019.docx", "A 66093-2019")</f>
        <v/>
      </c>
      <c r="Y211">
        <f>HYPERLINK("https://klasma.github.io/Logging_0513/tillsynsmail/A 66093-2019.docx", "A 66093-2019")</f>
        <v/>
      </c>
    </row>
    <row r="212" ht="15" customHeight="1">
      <c r="A212" t="inlineStr">
        <is>
          <t>A 67658-2019</t>
        </is>
      </c>
      <c r="B212" s="1" t="n">
        <v>43809</v>
      </c>
      <c r="C212" s="1" t="n">
        <v>45211</v>
      </c>
      <c r="D212" t="inlineStr">
        <is>
          <t>ÖSTERGÖTLANDS LÄN</t>
        </is>
      </c>
      <c r="E212" t="inlineStr">
        <is>
          <t>KINDA</t>
        </is>
      </c>
      <c r="G212" t="n">
        <v>1.2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1</v>
      </c>
      <c r="P212" t="n">
        <v>1</v>
      </c>
      <c r="Q212" t="n">
        <v>1</v>
      </c>
      <c r="R212" s="2" t="inlineStr">
        <is>
          <t>Ask</t>
        </is>
      </c>
      <c r="S212">
        <f>HYPERLINK("https://klasma.github.io/Logging_0513/artfynd/A 67658-2019.xlsx", "A 67658-2019")</f>
        <v/>
      </c>
      <c r="T212">
        <f>HYPERLINK("https://klasma.github.io/Logging_0513/kartor/A 67658-2019.png", "A 67658-2019")</f>
        <v/>
      </c>
      <c r="V212">
        <f>HYPERLINK("https://klasma.github.io/Logging_0513/klagomål/A 67658-2019.docx", "A 67658-2019")</f>
        <v/>
      </c>
      <c r="W212">
        <f>HYPERLINK("https://klasma.github.io/Logging_0513/klagomålsmail/A 67658-2019.docx", "A 67658-2019")</f>
        <v/>
      </c>
      <c r="X212">
        <f>HYPERLINK("https://klasma.github.io/Logging_0513/tillsyn/A 67658-2019.docx", "A 67658-2019")</f>
        <v/>
      </c>
      <c r="Y212">
        <f>HYPERLINK("https://klasma.github.io/Logging_0513/tillsynsmail/A 67658-2019.docx", "A 67658-2019")</f>
        <v/>
      </c>
    </row>
    <row r="213" ht="15" customHeight="1">
      <c r="A213" t="inlineStr">
        <is>
          <t>A 2350-2020</t>
        </is>
      </c>
      <c r="B213" s="1" t="n">
        <v>43846</v>
      </c>
      <c r="C213" s="1" t="n">
        <v>45211</v>
      </c>
      <c r="D213" t="inlineStr">
        <is>
          <t>ÖSTERGÖTLANDS LÄN</t>
        </is>
      </c>
      <c r="E213" t="inlineStr">
        <is>
          <t>FINSPÅNG</t>
        </is>
      </c>
      <c r="F213" t="inlineStr">
        <is>
          <t>Övriga Aktiebolag</t>
        </is>
      </c>
      <c r="G213" t="n">
        <v>5.7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s="2" t="inlineStr">
        <is>
          <t>Ullticka</t>
        </is>
      </c>
      <c r="S213">
        <f>HYPERLINK("https://klasma.github.io/Logging_0562/artfynd/A 2350-2020.xlsx", "A 2350-2020")</f>
        <v/>
      </c>
      <c r="T213">
        <f>HYPERLINK("https://klasma.github.io/Logging_0562/kartor/A 2350-2020.png", "A 2350-2020")</f>
        <v/>
      </c>
      <c r="V213">
        <f>HYPERLINK("https://klasma.github.io/Logging_0562/klagomål/A 2350-2020.docx", "A 2350-2020")</f>
        <v/>
      </c>
      <c r="W213">
        <f>HYPERLINK("https://klasma.github.io/Logging_0562/klagomålsmail/A 2350-2020.docx", "A 2350-2020")</f>
        <v/>
      </c>
      <c r="X213">
        <f>HYPERLINK("https://klasma.github.io/Logging_0562/tillsyn/A 2350-2020.docx", "A 2350-2020")</f>
        <v/>
      </c>
      <c r="Y213">
        <f>HYPERLINK("https://klasma.github.io/Logging_0562/tillsynsmail/A 2350-2020.docx", "A 2350-2020")</f>
        <v/>
      </c>
    </row>
    <row r="214" ht="15" customHeight="1">
      <c r="A214" t="inlineStr">
        <is>
          <t>A 3021-2020</t>
        </is>
      </c>
      <c r="B214" s="1" t="n">
        <v>43851</v>
      </c>
      <c r="C214" s="1" t="n">
        <v>45211</v>
      </c>
      <c r="D214" t="inlineStr">
        <is>
          <t>ÖSTERGÖTLANDS LÄN</t>
        </is>
      </c>
      <c r="E214" t="inlineStr">
        <is>
          <t>FINSPÅNG</t>
        </is>
      </c>
      <c r="G214" t="n">
        <v>6.1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1</v>
      </c>
      <c r="R214" s="2" t="inlineStr">
        <is>
          <t>Skogsklocka</t>
        </is>
      </c>
      <c r="S214">
        <f>HYPERLINK("https://klasma.github.io/Logging_0562/artfynd/A 3021-2020.xlsx", "A 3021-2020")</f>
        <v/>
      </c>
      <c r="T214">
        <f>HYPERLINK("https://klasma.github.io/Logging_0562/kartor/A 3021-2020.png", "A 3021-2020")</f>
        <v/>
      </c>
      <c r="V214">
        <f>HYPERLINK("https://klasma.github.io/Logging_0562/klagomål/A 3021-2020.docx", "A 3021-2020")</f>
        <v/>
      </c>
      <c r="W214">
        <f>HYPERLINK("https://klasma.github.io/Logging_0562/klagomålsmail/A 3021-2020.docx", "A 3021-2020")</f>
        <v/>
      </c>
      <c r="X214">
        <f>HYPERLINK("https://klasma.github.io/Logging_0562/tillsyn/A 3021-2020.docx", "A 3021-2020")</f>
        <v/>
      </c>
      <c r="Y214">
        <f>HYPERLINK("https://klasma.github.io/Logging_0562/tillsynsmail/A 3021-2020.docx", "A 3021-2020")</f>
        <v/>
      </c>
    </row>
    <row r="215" ht="15" customHeight="1">
      <c r="A215" t="inlineStr">
        <is>
          <t>A 6775-2020</t>
        </is>
      </c>
      <c r="B215" s="1" t="n">
        <v>43867</v>
      </c>
      <c r="C215" s="1" t="n">
        <v>45211</v>
      </c>
      <c r="D215" t="inlineStr">
        <is>
          <t>ÖSTERGÖTLANDS LÄN</t>
        </is>
      </c>
      <c r="E215" t="inlineStr">
        <is>
          <t>FINSPÅNG</t>
        </is>
      </c>
      <c r="F215" t="inlineStr">
        <is>
          <t>Övriga Aktiebolag</t>
        </is>
      </c>
      <c r="G215" t="n">
        <v>10.8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s="2" t="inlineStr">
        <is>
          <t>Blomkålssvamp</t>
        </is>
      </c>
      <c r="S215">
        <f>HYPERLINK("https://klasma.github.io/Logging_0562/artfynd/A 6775-2020.xlsx", "A 6775-2020")</f>
        <v/>
      </c>
      <c r="T215">
        <f>HYPERLINK("https://klasma.github.io/Logging_0562/kartor/A 6775-2020.png", "A 6775-2020")</f>
        <v/>
      </c>
      <c r="V215">
        <f>HYPERLINK("https://klasma.github.io/Logging_0562/klagomål/A 6775-2020.docx", "A 6775-2020")</f>
        <v/>
      </c>
      <c r="W215">
        <f>HYPERLINK("https://klasma.github.io/Logging_0562/klagomålsmail/A 6775-2020.docx", "A 6775-2020")</f>
        <v/>
      </c>
      <c r="X215">
        <f>HYPERLINK("https://klasma.github.io/Logging_0562/tillsyn/A 6775-2020.docx", "A 6775-2020")</f>
        <v/>
      </c>
      <c r="Y215">
        <f>HYPERLINK("https://klasma.github.io/Logging_0562/tillsynsmail/A 6775-2020.docx", "A 6775-2020")</f>
        <v/>
      </c>
    </row>
    <row r="216" ht="15" customHeight="1">
      <c r="A216" t="inlineStr">
        <is>
          <t>A 7268-2020</t>
        </is>
      </c>
      <c r="B216" s="1" t="n">
        <v>43871</v>
      </c>
      <c r="C216" s="1" t="n">
        <v>45211</v>
      </c>
      <c r="D216" t="inlineStr">
        <is>
          <t>ÖSTERGÖTLANDS LÄN</t>
        </is>
      </c>
      <c r="E216" t="inlineStr">
        <is>
          <t>VADSTENA</t>
        </is>
      </c>
      <c r="G216" t="n">
        <v>1.9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1</v>
      </c>
      <c r="P216" t="n">
        <v>1</v>
      </c>
      <c r="Q216" t="n">
        <v>1</v>
      </c>
      <c r="R216" s="2" t="inlineStr">
        <is>
          <t>Bohuslind</t>
        </is>
      </c>
      <c r="S216">
        <f>HYPERLINK("https://klasma.github.io/Logging_0584/artfynd/A 7268-2020.xlsx", "A 7268-2020")</f>
        <v/>
      </c>
      <c r="T216">
        <f>HYPERLINK("https://klasma.github.io/Logging_0584/kartor/A 7268-2020.png", "A 7268-2020")</f>
        <v/>
      </c>
      <c r="V216">
        <f>HYPERLINK("https://klasma.github.io/Logging_0584/klagomål/A 7268-2020.docx", "A 7268-2020")</f>
        <v/>
      </c>
      <c r="W216">
        <f>HYPERLINK("https://klasma.github.io/Logging_0584/klagomålsmail/A 7268-2020.docx", "A 7268-2020")</f>
        <v/>
      </c>
      <c r="X216">
        <f>HYPERLINK("https://klasma.github.io/Logging_0584/tillsyn/A 7268-2020.docx", "A 7268-2020")</f>
        <v/>
      </c>
      <c r="Y216">
        <f>HYPERLINK("https://klasma.github.io/Logging_0584/tillsynsmail/A 7268-2020.docx", "A 7268-2020")</f>
        <v/>
      </c>
    </row>
    <row r="217" ht="15" customHeight="1">
      <c r="A217" t="inlineStr">
        <is>
          <t>A 7241-2020</t>
        </is>
      </c>
      <c r="B217" s="1" t="n">
        <v>43871</v>
      </c>
      <c r="C217" s="1" t="n">
        <v>45211</v>
      </c>
      <c r="D217" t="inlineStr">
        <is>
          <t>ÖSTERGÖTLANDS LÄN</t>
        </is>
      </c>
      <c r="E217" t="inlineStr">
        <is>
          <t>ÅTVIDABERG</t>
        </is>
      </c>
      <c r="G217" t="n">
        <v>3.8</v>
      </c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s="2" t="inlineStr">
        <is>
          <t>Skogsknipprot</t>
        </is>
      </c>
      <c r="S217">
        <f>HYPERLINK("https://klasma.github.io/Logging_0561/artfynd/A 7241-2020.xlsx", "A 7241-2020")</f>
        <v/>
      </c>
      <c r="T217">
        <f>HYPERLINK("https://klasma.github.io/Logging_0561/kartor/A 7241-2020.png", "A 7241-2020")</f>
        <v/>
      </c>
      <c r="V217">
        <f>HYPERLINK("https://klasma.github.io/Logging_0561/klagomål/A 7241-2020.docx", "A 7241-2020")</f>
        <v/>
      </c>
      <c r="W217">
        <f>HYPERLINK("https://klasma.github.io/Logging_0561/klagomålsmail/A 7241-2020.docx", "A 7241-2020")</f>
        <v/>
      </c>
      <c r="X217">
        <f>HYPERLINK("https://klasma.github.io/Logging_0561/tillsyn/A 7241-2020.docx", "A 7241-2020")</f>
        <v/>
      </c>
      <c r="Y217">
        <f>HYPERLINK("https://klasma.github.io/Logging_0561/tillsynsmail/A 7241-2020.docx", "A 7241-2020")</f>
        <v/>
      </c>
    </row>
    <row r="218" ht="15" customHeight="1">
      <c r="A218" t="inlineStr">
        <is>
          <t>A 9074-2020</t>
        </is>
      </c>
      <c r="B218" s="1" t="n">
        <v>43879</v>
      </c>
      <c r="C218" s="1" t="n">
        <v>45211</v>
      </c>
      <c r="D218" t="inlineStr">
        <is>
          <t>ÖSTERGÖTLANDS LÄN</t>
        </is>
      </c>
      <c r="E218" t="inlineStr">
        <is>
          <t>KINDA</t>
        </is>
      </c>
      <c r="F218" t="inlineStr">
        <is>
          <t>Sveaskog</t>
        </is>
      </c>
      <c r="G218" t="n">
        <v>3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s="2" t="inlineStr">
        <is>
          <t>Svart trolldruva</t>
        </is>
      </c>
      <c r="S218">
        <f>HYPERLINK("https://klasma.github.io/Logging_0513/artfynd/A 9074-2020.xlsx", "A 9074-2020")</f>
        <v/>
      </c>
      <c r="T218">
        <f>HYPERLINK("https://klasma.github.io/Logging_0513/kartor/A 9074-2020.png", "A 9074-2020")</f>
        <v/>
      </c>
      <c r="V218">
        <f>HYPERLINK("https://klasma.github.io/Logging_0513/klagomål/A 9074-2020.docx", "A 9074-2020")</f>
        <v/>
      </c>
      <c r="W218">
        <f>HYPERLINK("https://klasma.github.io/Logging_0513/klagomålsmail/A 9074-2020.docx", "A 9074-2020")</f>
        <v/>
      </c>
      <c r="X218">
        <f>HYPERLINK("https://klasma.github.io/Logging_0513/tillsyn/A 9074-2020.docx", "A 9074-2020")</f>
        <v/>
      </c>
      <c r="Y218">
        <f>HYPERLINK("https://klasma.github.io/Logging_0513/tillsynsmail/A 9074-2020.docx", "A 9074-2020")</f>
        <v/>
      </c>
    </row>
    <row r="219" ht="15" customHeight="1">
      <c r="A219" t="inlineStr">
        <is>
          <t>A 9820-2020</t>
        </is>
      </c>
      <c r="B219" s="1" t="n">
        <v>43881</v>
      </c>
      <c r="C219" s="1" t="n">
        <v>45211</v>
      </c>
      <c r="D219" t="inlineStr">
        <is>
          <t>ÖSTERGÖTLANDS LÄN</t>
        </is>
      </c>
      <c r="E219" t="inlineStr">
        <is>
          <t>LINKÖPING</t>
        </is>
      </c>
      <c r="F219" t="inlineStr">
        <is>
          <t>Allmännings- och besparingsskogar</t>
        </is>
      </c>
      <c r="G219" t="n">
        <v>24.8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1</v>
      </c>
      <c r="R219" s="2" t="inlineStr">
        <is>
          <t>Ekticka</t>
        </is>
      </c>
      <c r="S219">
        <f>HYPERLINK("https://klasma.github.io/Logging_0580/artfynd/A 9820-2020.xlsx", "A 9820-2020")</f>
        <v/>
      </c>
      <c r="T219">
        <f>HYPERLINK("https://klasma.github.io/Logging_0580/kartor/A 9820-2020.png", "A 9820-2020")</f>
        <v/>
      </c>
      <c r="V219">
        <f>HYPERLINK("https://klasma.github.io/Logging_0580/klagomål/A 9820-2020.docx", "A 9820-2020")</f>
        <v/>
      </c>
      <c r="W219">
        <f>HYPERLINK("https://klasma.github.io/Logging_0580/klagomålsmail/A 9820-2020.docx", "A 9820-2020")</f>
        <v/>
      </c>
      <c r="X219">
        <f>HYPERLINK("https://klasma.github.io/Logging_0580/tillsyn/A 9820-2020.docx", "A 9820-2020")</f>
        <v/>
      </c>
      <c r="Y219">
        <f>HYPERLINK("https://klasma.github.io/Logging_0580/tillsynsmail/A 9820-2020.docx", "A 9820-2020")</f>
        <v/>
      </c>
    </row>
    <row r="220" ht="15" customHeight="1">
      <c r="A220" t="inlineStr">
        <is>
          <t>A 10926-2020</t>
        </is>
      </c>
      <c r="B220" s="1" t="n">
        <v>43889</v>
      </c>
      <c r="C220" s="1" t="n">
        <v>45211</v>
      </c>
      <c r="D220" t="inlineStr">
        <is>
          <t>ÖSTERGÖTLANDS LÄN</t>
        </is>
      </c>
      <c r="E220" t="inlineStr">
        <is>
          <t>MOTALA</t>
        </is>
      </c>
      <c r="G220" t="n">
        <v>2.4</v>
      </c>
      <c r="H220" t="n">
        <v>1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n">
        <v>1</v>
      </c>
      <c r="Q220" t="n">
        <v>1</v>
      </c>
      <c r="R220" s="2" t="inlineStr">
        <is>
          <t>Buskvicker</t>
        </is>
      </c>
      <c r="S220">
        <f>HYPERLINK("https://klasma.github.io/Logging_0583/artfynd/A 10926-2020.xlsx", "A 10926-2020")</f>
        <v/>
      </c>
      <c r="T220">
        <f>HYPERLINK("https://klasma.github.io/Logging_0583/kartor/A 10926-2020.png", "A 10926-2020")</f>
        <v/>
      </c>
      <c r="V220">
        <f>HYPERLINK("https://klasma.github.io/Logging_0583/klagomål/A 10926-2020.docx", "A 10926-2020")</f>
        <v/>
      </c>
      <c r="W220">
        <f>HYPERLINK("https://klasma.github.io/Logging_0583/klagomålsmail/A 10926-2020.docx", "A 10926-2020")</f>
        <v/>
      </c>
      <c r="X220">
        <f>HYPERLINK("https://klasma.github.io/Logging_0583/tillsyn/A 10926-2020.docx", "A 10926-2020")</f>
        <v/>
      </c>
      <c r="Y220">
        <f>HYPERLINK("https://klasma.github.io/Logging_0583/tillsynsmail/A 10926-2020.docx", "A 10926-2020")</f>
        <v/>
      </c>
    </row>
    <row r="221" ht="15" customHeight="1">
      <c r="A221" t="inlineStr">
        <is>
          <t>A 14835-2020</t>
        </is>
      </c>
      <c r="B221" s="1" t="n">
        <v>43909</v>
      </c>
      <c r="C221" s="1" t="n">
        <v>45211</v>
      </c>
      <c r="D221" t="inlineStr">
        <is>
          <t>ÖSTERGÖTLANDS LÄN</t>
        </is>
      </c>
      <c r="E221" t="inlineStr">
        <is>
          <t>FINSPÅNG</t>
        </is>
      </c>
      <c r="F221" t="inlineStr">
        <is>
          <t>Övriga Aktiebolag</t>
        </is>
      </c>
      <c r="G221" t="n">
        <v>9.9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1</v>
      </c>
      <c r="R221" s="2" t="inlineStr">
        <is>
          <t>Vedtrappmossa</t>
        </is>
      </c>
      <c r="S221">
        <f>HYPERLINK("https://klasma.github.io/Logging_0562/artfynd/A 14835-2020.xlsx", "A 14835-2020")</f>
        <v/>
      </c>
      <c r="T221">
        <f>HYPERLINK("https://klasma.github.io/Logging_0562/kartor/A 14835-2020.png", "A 14835-2020")</f>
        <v/>
      </c>
      <c r="V221">
        <f>HYPERLINK("https://klasma.github.io/Logging_0562/klagomål/A 14835-2020.docx", "A 14835-2020")</f>
        <v/>
      </c>
      <c r="W221">
        <f>HYPERLINK("https://klasma.github.io/Logging_0562/klagomålsmail/A 14835-2020.docx", "A 14835-2020")</f>
        <v/>
      </c>
      <c r="X221">
        <f>HYPERLINK("https://klasma.github.io/Logging_0562/tillsyn/A 14835-2020.docx", "A 14835-2020")</f>
        <v/>
      </c>
      <c r="Y221">
        <f>HYPERLINK("https://klasma.github.io/Logging_0562/tillsynsmail/A 14835-2020.docx", "A 14835-2020")</f>
        <v/>
      </c>
    </row>
    <row r="222" ht="15" customHeight="1">
      <c r="A222" t="inlineStr">
        <is>
          <t>A 14959-2020</t>
        </is>
      </c>
      <c r="B222" s="1" t="n">
        <v>43910</v>
      </c>
      <c r="C222" s="1" t="n">
        <v>45211</v>
      </c>
      <c r="D222" t="inlineStr">
        <is>
          <t>ÖSTERGÖTLANDS LÄN</t>
        </is>
      </c>
      <c r="E222" t="inlineStr">
        <is>
          <t>YDRE</t>
        </is>
      </c>
      <c r="G222" t="n">
        <v>1.4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s="2" t="inlineStr">
        <is>
          <t>Smal guldkornsfibbla</t>
        </is>
      </c>
      <c r="S222">
        <f>HYPERLINK("https://klasma.github.io/Logging_0512/artfynd/A 14959-2020.xlsx", "A 14959-2020")</f>
        <v/>
      </c>
      <c r="T222">
        <f>HYPERLINK("https://klasma.github.io/Logging_0512/kartor/A 14959-2020.png", "A 14959-2020")</f>
        <v/>
      </c>
      <c r="V222">
        <f>HYPERLINK("https://klasma.github.io/Logging_0512/klagomål/A 14959-2020.docx", "A 14959-2020")</f>
        <v/>
      </c>
      <c r="W222">
        <f>HYPERLINK("https://klasma.github.io/Logging_0512/klagomålsmail/A 14959-2020.docx", "A 14959-2020")</f>
        <v/>
      </c>
      <c r="X222">
        <f>HYPERLINK("https://klasma.github.io/Logging_0512/tillsyn/A 14959-2020.docx", "A 14959-2020")</f>
        <v/>
      </c>
      <c r="Y222">
        <f>HYPERLINK("https://klasma.github.io/Logging_0512/tillsynsmail/A 14959-2020.docx", "A 14959-2020")</f>
        <v/>
      </c>
    </row>
    <row r="223" ht="15" customHeight="1">
      <c r="A223" t="inlineStr">
        <is>
          <t>A 15742-2020</t>
        </is>
      </c>
      <c r="B223" s="1" t="n">
        <v>43915</v>
      </c>
      <c r="C223" s="1" t="n">
        <v>45211</v>
      </c>
      <c r="D223" t="inlineStr">
        <is>
          <t>ÖSTERGÖTLANDS LÄN</t>
        </is>
      </c>
      <c r="E223" t="inlineStr">
        <is>
          <t>LINKÖPING</t>
        </is>
      </c>
      <c r="G223" t="n">
        <v>1.6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s="2" t="inlineStr">
        <is>
          <t>Skogsbräsma</t>
        </is>
      </c>
      <c r="S223">
        <f>HYPERLINK("https://klasma.github.io/Logging_0580/artfynd/A 15742-2020.xlsx", "A 15742-2020")</f>
        <v/>
      </c>
      <c r="T223">
        <f>HYPERLINK("https://klasma.github.io/Logging_0580/kartor/A 15742-2020.png", "A 15742-2020")</f>
        <v/>
      </c>
      <c r="V223">
        <f>HYPERLINK("https://klasma.github.io/Logging_0580/klagomål/A 15742-2020.docx", "A 15742-2020")</f>
        <v/>
      </c>
      <c r="W223">
        <f>HYPERLINK("https://klasma.github.io/Logging_0580/klagomålsmail/A 15742-2020.docx", "A 15742-2020")</f>
        <v/>
      </c>
      <c r="X223">
        <f>HYPERLINK("https://klasma.github.io/Logging_0580/tillsyn/A 15742-2020.docx", "A 15742-2020")</f>
        <v/>
      </c>
      <c r="Y223">
        <f>HYPERLINK("https://klasma.github.io/Logging_0580/tillsynsmail/A 15742-2020.docx", "A 15742-2020")</f>
        <v/>
      </c>
    </row>
    <row r="224" ht="15" customHeight="1">
      <c r="A224" t="inlineStr">
        <is>
          <t>A 16730-2020</t>
        </is>
      </c>
      <c r="B224" s="1" t="n">
        <v>43920</v>
      </c>
      <c r="C224" s="1" t="n">
        <v>45211</v>
      </c>
      <c r="D224" t="inlineStr">
        <is>
          <t>ÖSTERGÖTLANDS LÄN</t>
        </is>
      </c>
      <c r="E224" t="inlineStr">
        <is>
          <t>MOTALA</t>
        </is>
      </c>
      <c r="F224" t="inlineStr">
        <is>
          <t>Sveaskog</t>
        </is>
      </c>
      <c r="G224" t="n">
        <v>1.1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s="2" t="inlineStr">
        <is>
          <t>Skuggmossa</t>
        </is>
      </c>
      <c r="S224">
        <f>HYPERLINK("https://klasma.github.io/Logging_0583/artfynd/A 16730-2020.xlsx", "A 16730-2020")</f>
        <v/>
      </c>
      <c r="T224">
        <f>HYPERLINK("https://klasma.github.io/Logging_0583/kartor/A 16730-2020.png", "A 16730-2020")</f>
        <v/>
      </c>
      <c r="V224">
        <f>HYPERLINK("https://klasma.github.io/Logging_0583/klagomål/A 16730-2020.docx", "A 16730-2020")</f>
        <v/>
      </c>
      <c r="W224">
        <f>HYPERLINK("https://klasma.github.io/Logging_0583/klagomålsmail/A 16730-2020.docx", "A 16730-2020")</f>
        <v/>
      </c>
      <c r="X224">
        <f>HYPERLINK("https://klasma.github.io/Logging_0583/tillsyn/A 16730-2020.docx", "A 16730-2020")</f>
        <v/>
      </c>
      <c r="Y224">
        <f>HYPERLINK("https://klasma.github.io/Logging_0583/tillsynsmail/A 16730-2020.docx", "A 16730-2020")</f>
        <v/>
      </c>
    </row>
    <row r="225" ht="15" customHeight="1">
      <c r="A225" t="inlineStr">
        <is>
          <t>A 18902-2020</t>
        </is>
      </c>
      <c r="B225" s="1" t="n">
        <v>43935</v>
      </c>
      <c r="C225" s="1" t="n">
        <v>45211</v>
      </c>
      <c r="D225" t="inlineStr">
        <is>
          <t>ÖSTERGÖTLANDS LÄN</t>
        </is>
      </c>
      <c r="E225" t="inlineStr">
        <is>
          <t>NORRKÖPING</t>
        </is>
      </c>
      <c r="G225" t="n">
        <v>2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  <c r="P225" t="n">
        <v>1</v>
      </c>
      <c r="Q225" t="n">
        <v>1</v>
      </c>
      <c r="R225" s="2" t="inlineStr">
        <is>
          <t>Ask</t>
        </is>
      </c>
      <c r="S225">
        <f>HYPERLINK("https://klasma.github.io/Logging_0581/artfynd/A 18902-2020.xlsx", "A 18902-2020")</f>
        <v/>
      </c>
      <c r="T225">
        <f>HYPERLINK("https://klasma.github.io/Logging_0581/kartor/A 18902-2020.png", "A 18902-2020")</f>
        <v/>
      </c>
      <c r="V225">
        <f>HYPERLINK("https://klasma.github.io/Logging_0581/klagomål/A 18902-2020.docx", "A 18902-2020")</f>
        <v/>
      </c>
      <c r="W225">
        <f>HYPERLINK("https://klasma.github.io/Logging_0581/klagomålsmail/A 18902-2020.docx", "A 18902-2020")</f>
        <v/>
      </c>
      <c r="X225">
        <f>HYPERLINK("https://klasma.github.io/Logging_0581/tillsyn/A 18902-2020.docx", "A 18902-2020")</f>
        <v/>
      </c>
      <c r="Y225">
        <f>HYPERLINK("https://klasma.github.io/Logging_0581/tillsynsmail/A 18902-2020.docx", "A 18902-2020")</f>
        <v/>
      </c>
    </row>
    <row r="226" ht="15" customHeight="1">
      <c r="A226" t="inlineStr">
        <is>
          <t>A 19096-2020</t>
        </is>
      </c>
      <c r="B226" s="1" t="n">
        <v>43936</v>
      </c>
      <c r="C226" s="1" t="n">
        <v>45211</v>
      </c>
      <c r="D226" t="inlineStr">
        <is>
          <t>ÖSTERGÖTLANDS LÄN</t>
        </is>
      </c>
      <c r="E226" t="inlineStr">
        <is>
          <t>MOTALA</t>
        </is>
      </c>
      <c r="F226" t="inlineStr">
        <is>
          <t>Sveaskog</t>
        </is>
      </c>
      <c r="G226" t="n">
        <v>2.2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s="2" t="inlineStr">
        <is>
          <t>Västlig hakmossa</t>
        </is>
      </c>
      <c r="S226">
        <f>HYPERLINK("https://klasma.github.io/Logging_0583/artfynd/A 19096-2020.xlsx", "A 19096-2020")</f>
        <v/>
      </c>
      <c r="T226">
        <f>HYPERLINK("https://klasma.github.io/Logging_0583/kartor/A 19096-2020.png", "A 19096-2020")</f>
        <v/>
      </c>
      <c r="V226">
        <f>HYPERLINK("https://klasma.github.io/Logging_0583/klagomål/A 19096-2020.docx", "A 19096-2020")</f>
        <v/>
      </c>
      <c r="W226">
        <f>HYPERLINK("https://klasma.github.io/Logging_0583/klagomålsmail/A 19096-2020.docx", "A 19096-2020")</f>
        <v/>
      </c>
      <c r="X226">
        <f>HYPERLINK("https://klasma.github.io/Logging_0583/tillsyn/A 19096-2020.docx", "A 19096-2020")</f>
        <v/>
      </c>
      <c r="Y226">
        <f>HYPERLINK("https://klasma.github.io/Logging_0583/tillsynsmail/A 19096-2020.docx", "A 19096-2020")</f>
        <v/>
      </c>
    </row>
    <row r="227" ht="15" customHeight="1">
      <c r="A227" t="inlineStr">
        <is>
          <t>A 24118-2020</t>
        </is>
      </c>
      <c r="B227" s="1" t="n">
        <v>43973</v>
      </c>
      <c r="C227" s="1" t="n">
        <v>45211</v>
      </c>
      <c r="D227" t="inlineStr">
        <is>
          <t>ÖSTERGÖTLANDS LÄN</t>
        </is>
      </c>
      <c r="E227" t="inlineStr">
        <is>
          <t>VALDEMARSVIK</t>
        </is>
      </c>
      <c r="G227" t="n">
        <v>2.5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s="2" t="inlineStr">
        <is>
          <t>Sårläka</t>
        </is>
      </c>
      <c r="S227">
        <f>HYPERLINK("https://klasma.github.io/Logging_0563/artfynd/A 24118-2020.xlsx", "A 24118-2020")</f>
        <v/>
      </c>
      <c r="T227">
        <f>HYPERLINK("https://klasma.github.io/Logging_0563/kartor/A 24118-2020.png", "A 24118-2020")</f>
        <v/>
      </c>
      <c r="V227">
        <f>HYPERLINK("https://klasma.github.io/Logging_0563/klagomål/A 24118-2020.docx", "A 24118-2020")</f>
        <v/>
      </c>
      <c r="W227">
        <f>HYPERLINK("https://klasma.github.io/Logging_0563/klagomålsmail/A 24118-2020.docx", "A 24118-2020")</f>
        <v/>
      </c>
      <c r="X227">
        <f>HYPERLINK("https://klasma.github.io/Logging_0563/tillsyn/A 24118-2020.docx", "A 24118-2020")</f>
        <v/>
      </c>
      <c r="Y227">
        <f>HYPERLINK("https://klasma.github.io/Logging_0563/tillsynsmail/A 24118-2020.docx", "A 24118-2020")</f>
        <v/>
      </c>
    </row>
    <row r="228" ht="15" customHeight="1">
      <c r="A228" t="inlineStr">
        <is>
          <t>A 26728-2020</t>
        </is>
      </c>
      <c r="B228" s="1" t="n">
        <v>43990</v>
      </c>
      <c r="C228" s="1" t="n">
        <v>45211</v>
      </c>
      <c r="D228" t="inlineStr">
        <is>
          <t>ÖSTERGÖTLANDS LÄN</t>
        </is>
      </c>
      <c r="E228" t="inlineStr">
        <is>
          <t>KINDA</t>
        </is>
      </c>
      <c r="F228" t="inlineStr">
        <is>
          <t>Sveaskog</t>
        </is>
      </c>
      <c r="G228" t="n">
        <v>1.5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s="2" t="inlineStr">
        <is>
          <t>Motaggsvamp</t>
        </is>
      </c>
      <c r="S228">
        <f>HYPERLINK("https://klasma.github.io/Logging_0513/artfynd/A 26728-2020.xlsx", "A 26728-2020")</f>
        <v/>
      </c>
      <c r="T228">
        <f>HYPERLINK("https://klasma.github.io/Logging_0513/kartor/A 26728-2020.png", "A 26728-2020")</f>
        <v/>
      </c>
      <c r="V228">
        <f>HYPERLINK("https://klasma.github.io/Logging_0513/klagomål/A 26728-2020.docx", "A 26728-2020")</f>
        <v/>
      </c>
      <c r="W228">
        <f>HYPERLINK("https://klasma.github.io/Logging_0513/klagomålsmail/A 26728-2020.docx", "A 26728-2020")</f>
        <v/>
      </c>
      <c r="X228">
        <f>HYPERLINK("https://klasma.github.io/Logging_0513/tillsyn/A 26728-2020.docx", "A 26728-2020")</f>
        <v/>
      </c>
      <c r="Y228">
        <f>HYPERLINK("https://klasma.github.io/Logging_0513/tillsynsmail/A 26728-2020.docx", "A 26728-2020")</f>
        <v/>
      </c>
    </row>
    <row r="229" ht="15" customHeight="1">
      <c r="A229" t="inlineStr">
        <is>
          <t>A 27514-2020</t>
        </is>
      </c>
      <c r="B229" s="1" t="n">
        <v>43993</v>
      </c>
      <c r="C229" s="1" t="n">
        <v>45211</v>
      </c>
      <c r="D229" t="inlineStr">
        <is>
          <t>ÖSTERGÖTLANDS LÄN</t>
        </is>
      </c>
      <c r="E229" t="inlineStr">
        <is>
          <t>SÖDERKÖPING</t>
        </is>
      </c>
      <c r="G229" t="n">
        <v>3.8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s="2" t="inlineStr">
        <is>
          <t>Tjockfotad fingersvamp</t>
        </is>
      </c>
      <c r="S229">
        <f>HYPERLINK("https://klasma.github.io/Logging_0582/artfynd/A 27514-2020.xlsx", "A 27514-2020")</f>
        <v/>
      </c>
      <c r="T229">
        <f>HYPERLINK("https://klasma.github.io/Logging_0582/kartor/A 27514-2020.png", "A 27514-2020")</f>
        <v/>
      </c>
      <c r="V229">
        <f>HYPERLINK("https://klasma.github.io/Logging_0582/klagomål/A 27514-2020.docx", "A 27514-2020")</f>
        <v/>
      </c>
      <c r="W229">
        <f>HYPERLINK("https://klasma.github.io/Logging_0582/klagomålsmail/A 27514-2020.docx", "A 27514-2020")</f>
        <v/>
      </c>
      <c r="X229">
        <f>HYPERLINK("https://klasma.github.io/Logging_0582/tillsyn/A 27514-2020.docx", "A 27514-2020")</f>
        <v/>
      </c>
      <c r="Y229">
        <f>HYPERLINK("https://klasma.github.io/Logging_0582/tillsynsmail/A 27514-2020.docx", "A 27514-2020")</f>
        <v/>
      </c>
    </row>
    <row r="230" ht="15" customHeight="1">
      <c r="A230" t="inlineStr">
        <is>
          <t>A 30273-2020</t>
        </is>
      </c>
      <c r="B230" s="1" t="n">
        <v>44007</v>
      </c>
      <c r="C230" s="1" t="n">
        <v>45211</v>
      </c>
      <c r="D230" t="inlineStr">
        <is>
          <t>ÖSTERGÖTLANDS LÄN</t>
        </is>
      </c>
      <c r="E230" t="inlineStr">
        <is>
          <t>ÅTVIDABERG</t>
        </is>
      </c>
      <c r="G230" t="n">
        <v>1.3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1</v>
      </c>
      <c r="R230" s="2" t="inlineStr">
        <is>
          <t>Granticka</t>
        </is>
      </c>
      <c r="S230">
        <f>HYPERLINK("https://klasma.github.io/Logging_0561/artfynd/A 30273-2020.xlsx", "A 30273-2020")</f>
        <v/>
      </c>
      <c r="T230">
        <f>HYPERLINK("https://klasma.github.io/Logging_0561/kartor/A 30273-2020.png", "A 30273-2020")</f>
        <v/>
      </c>
      <c r="V230">
        <f>HYPERLINK("https://klasma.github.io/Logging_0561/klagomål/A 30273-2020.docx", "A 30273-2020")</f>
        <v/>
      </c>
      <c r="W230">
        <f>HYPERLINK("https://klasma.github.io/Logging_0561/klagomålsmail/A 30273-2020.docx", "A 30273-2020")</f>
        <v/>
      </c>
      <c r="X230">
        <f>HYPERLINK("https://klasma.github.io/Logging_0561/tillsyn/A 30273-2020.docx", "A 30273-2020")</f>
        <v/>
      </c>
      <c r="Y230">
        <f>HYPERLINK("https://klasma.github.io/Logging_0561/tillsynsmail/A 30273-2020.docx", "A 30273-2020")</f>
        <v/>
      </c>
    </row>
    <row r="231" ht="15" customHeight="1">
      <c r="A231" t="inlineStr">
        <is>
          <t>A 31912-2020</t>
        </is>
      </c>
      <c r="B231" s="1" t="n">
        <v>44014</v>
      </c>
      <c r="C231" s="1" t="n">
        <v>45211</v>
      </c>
      <c r="D231" t="inlineStr">
        <is>
          <t>ÖSTERGÖTLANDS LÄN</t>
        </is>
      </c>
      <c r="E231" t="inlineStr">
        <is>
          <t>MJÖLBY</t>
        </is>
      </c>
      <c r="G231" t="n">
        <v>14.2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s="2" t="inlineStr">
        <is>
          <t>Underviol</t>
        </is>
      </c>
      <c r="S231">
        <f>HYPERLINK("https://klasma.github.io/Logging_0586/artfynd/A 31912-2020.xlsx", "A 31912-2020")</f>
        <v/>
      </c>
      <c r="T231">
        <f>HYPERLINK("https://klasma.github.io/Logging_0586/kartor/A 31912-2020.png", "A 31912-2020")</f>
        <v/>
      </c>
      <c r="V231">
        <f>HYPERLINK("https://klasma.github.io/Logging_0586/klagomål/A 31912-2020.docx", "A 31912-2020")</f>
        <v/>
      </c>
      <c r="W231">
        <f>HYPERLINK("https://klasma.github.io/Logging_0586/klagomålsmail/A 31912-2020.docx", "A 31912-2020")</f>
        <v/>
      </c>
      <c r="X231">
        <f>HYPERLINK("https://klasma.github.io/Logging_0586/tillsyn/A 31912-2020.docx", "A 31912-2020")</f>
        <v/>
      </c>
      <c r="Y231">
        <f>HYPERLINK("https://klasma.github.io/Logging_0586/tillsynsmail/A 31912-2020.docx", "A 31912-2020")</f>
        <v/>
      </c>
    </row>
    <row r="232" ht="15" customHeight="1">
      <c r="A232" t="inlineStr">
        <is>
          <t>A 34236-2020</t>
        </is>
      </c>
      <c r="B232" s="1" t="n">
        <v>44029</v>
      </c>
      <c r="C232" s="1" t="n">
        <v>45211</v>
      </c>
      <c r="D232" t="inlineStr">
        <is>
          <t>ÖSTERGÖTLANDS LÄN</t>
        </is>
      </c>
      <c r="E232" t="inlineStr">
        <is>
          <t>VALDEMARSVIK</t>
        </is>
      </c>
      <c r="G232" t="n">
        <v>7.5</v>
      </c>
      <c r="H232" t="n">
        <v>1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1</v>
      </c>
      <c r="P232" t="n">
        <v>1</v>
      </c>
      <c r="Q232" t="n">
        <v>1</v>
      </c>
      <c r="R232" s="2" t="inlineStr">
        <is>
          <t>Knärot</t>
        </is>
      </c>
      <c r="S232">
        <f>HYPERLINK("https://klasma.github.io/Logging_0563/artfynd/A 34236-2020.xlsx", "A 34236-2020")</f>
        <v/>
      </c>
      <c r="T232">
        <f>HYPERLINK("https://klasma.github.io/Logging_0563/kartor/A 34236-2020.png", "A 34236-2020")</f>
        <v/>
      </c>
      <c r="U232">
        <f>HYPERLINK("https://klasma.github.io/Logging_0563/knärot/A 34236-2020.png", "A 34236-2020")</f>
        <v/>
      </c>
      <c r="V232">
        <f>HYPERLINK("https://klasma.github.io/Logging_0563/klagomål/A 34236-2020.docx", "A 34236-2020")</f>
        <v/>
      </c>
      <c r="W232">
        <f>HYPERLINK("https://klasma.github.io/Logging_0563/klagomålsmail/A 34236-2020.docx", "A 34236-2020")</f>
        <v/>
      </c>
      <c r="X232">
        <f>HYPERLINK("https://klasma.github.io/Logging_0563/tillsyn/A 34236-2020.docx", "A 34236-2020")</f>
        <v/>
      </c>
      <c r="Y232">
        <f>HYPERLINK("https://klasma.github.io/Logging_0563/tillsynsmail/A 34236-2020.docx", "A 34236-2020")</f>
        <v/>
      </c>
    </row>
    <row r="233" ht="15" customHeight="1">
      <c r="A233" t="inlineStr">
        <is>
          <t>A 35003-2020</t>
        </is>
      </c>
      <c r="B233" s="1" t="n">
        <v>44039</v>
      </c>
      <c r="C233" s="1" t="n">
        <v>45211</v>
      </c>
      <c r="D233" t="inlineStr">
        <is>
          <t>ÖSTERGÖTLANDS LÄN</t>
        </is>
      </c>
      <c r="E233" t="inlineStr">
        <is>
          <t>FINSPÅNG</t>
        </is>
      </c>
      <c r="F233" t="inlineStr">
        <is>
          <t>Holmen skog AB</t>
        </is>
      </c>
      <c r="G233" t="n">
        <v>17.1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s="2" t="inlineStr">
        <is>
          <t>Bronshjon</t>
        </is>
      </c>
      <c r="S233">
        <f>HYPERLINK("https://klasma.github.io/Logging_0562/artfynd/A 35003-2020.xlsx", "A 35003-2020")</f>
        <v/>
      </c>
      <c r="T233">
        <f>HYPERLINK("https://klasma.github.io/Logging_0562/kartor/A 35003-2020.png", "A 35003-2020")</f>
        <v/>
      </c>
      <c r="V233">
        <f>HYPERLINK("https://klasma.github.io/Logging_0562/klagomål/A 35003-2020.docx", "A 35003-2020")</f>
        <v/>
      </c>
      <c r="W233">
        <f>HYPERLINK("https://klasma.github.io/Logging_0562/klagomålsmail/A 35003-2020.docx", "A 35003-2020")</f>
        <v/>
      </c>
      <c r="X233">
        <f>HYPERLINK("https://klasma.github.io/Logging_0562/tillsyn/A 35003-2020.docx", "A 35003-2020")</f>
        <v/>
      </c>
      <c r="Y233">
        <f>HYPERLINK("https://klasma.github.io/Logging_0562/tillsynsmail/A 35003-2020.docx", "A 35003-2020")</f>
        <v/>
      </c>
    </row>
    <row r="234" ht="15" customHeight="1">
      <c r="A234" t="inlineStr">
        <is>
          <t>A 36769-2020</t>
        </is>
      </c>
      <c r="B234" s="1" t="n">
        <v>44053</v>
      </c>
      <c r="C234" s="1" t="n">
        <v>45211</v>
      </c>
      <c r="D234" t="inlineStr">
        <is>
          <t>ÖSTERGÖTLANDS LÄN</t>
        </is>
      </c>
      <c r="E234" t="inlineStr">
        <is>
          <t>SÖDERKÖPING</t>
        </is>
      </c>
      <c r="G234" t="n">
        <v>4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1</v>
      </c>
      <c r="P234" t="n">
        <v>1</v>
      </c>
      <c r="Q234" t="n">
        <v>1</v>
      </c>
      <c r="R234" s="2" t="inlineStr">
        <is>
          <t>Ask</t>
        </is>
      </c>
      <c r="S234">
        <f>HYPERLINK("https://klasma.github.io/Logging_0582/artfynd/A 36769-2020.xlsx", "A 36769-2020")</f>
        <v/>
      </c>
      <c r="T234">
        <f>HYPERLINK("https://klasma.github.io/Logging_0582/kartor/A 36769-2020.png", "A 36769-2020")</f>
        <v/>
      </c>
      <c r="V234">
        <f>HYPERLINK("https://klasma.github.io/Logging_0582/klagomål/A 36769-2020.docx", "A 36769-2020")</f>
        <v/>
      </c>
      <c r="W234">
        <f>HYPERLINK("https://klasma.github.io/Logging_0582/klagomålsmail/A 36769-2020.docx", "A 36769-2020")</f>
        <v/>
      </c>
      <c r="X234">
        <f>HYPERLINK("https://klasma.github.io/Logging_0582/tillsyn/A 36769-2020.docx", "A 36769-2020")</f>
        <v/>
      </c>
      <c r="Y234">
        <f>HYPERLINK("https://klasma.github.io/Logging_0582/tillsynsmail/A 36769-2020.docx", "A 36769-2020")</f>
        <v/>
      </c>
    </row>
    <row r="235" ht="15" customHeight="1">
      <c r="A235" t="inlineStr">
        <is>
          <t>A 42014-2020</t>
        </is>
      </c>
      <c r="B235" s="1" t="n">
        <v>44075</v>
      </c>
      <c r="C235" s="1" t="n">
        <v>45211</v>
      </c>
      <c r="D235" t="inlineStr">
        <is>
          <t>ÖSTERGÖTLANDS LÄN</t>
        </is>
      </c>
      <c r="E235" t="inlineStr">
        <is>
          <t>MOTALA</t>
        </is>
      </c>
      <c r="G235" t="n">
        <v>0.6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1</v>
      </c>
      <c r="P235" t="n">
        <v>1</v>
      </c>
      <c r="Q235" t="n">
        <v>1</v>
      </c>
      <c r="R235" s="2" t="inlineStr">
        <is>
          <t>Ask</t>
        </is>
      </c>
      <c r="S235">
        <f>HYPERLINK("https://klasma.github.io/Logging_0583/artfynd/A 42014-2020.xlsx", "A 42014-2020")</f>
        <v/>
      </c>
      <c r="T235">
        <f>HYPERLINK("https://klasma.github.io/Logging_0583/kartor/A 42014-2020.png", "A 42014-2020")</f>
        <v/>
      </c>
      <c r="V235">
        <f>HYPERLINK("https://klasma.github.io/Logging_0583/klagomål/A 42014-2020.docx", "A 42014-2020")</f>
        <v/>
      </c>
      <c r="W235">
        <f>HYPERLINK("https://klasma.github.io/Logging_0583/klagomålsmail/A 42014-2020.docx", "A 42014-2020")</f>
        <v/>
      </c>
      <c r="X235">
        <f>HYPERLINK("https://klasma.github.io/Logging_0583/tillsyn/A 42014-2020.docx", "A 42014-2020")</f>
        <v/>
      </c>
      <c r="Y235">
        <f>HYPERLINK("https://klasma.github.io/Logging_0583/tillsynsmail/A 42014-2020.docx", "A 42014-2020")</f>
        <v/>
      </c>
    </row>
    <row r="236" ht="15" customHeight="1">
      <c r="A236" t="inlineStr">
        <is>
          <t>A 42665-2020</t>
        </is>
      </c>
      <c r="B236" s="1" t="n">
        <v>44077</v>
      </c>
      <c r="C236" s="1" t="n">
        <v>45211</v>
      </c>
      <c r="D236" t="inlineStr">
        <is>
          <t>ÖSTERGÖTLANDS LÄN</t>
        </is>
      </c>
      <c r="E236" t="inlineStr">
        <is>
          <t>LINKÖPING</t>
        </is>
      </c>
      <c r="G236" t="n">
        <v>15.6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s="2" t="inlineStr">
        <is>
          <t>Tallticka</t>
        </is>
      </c>
      <c r="S236">
        <f>HYPERLINK("https://klasma.github.io/Logging_0580/artfynd/A 42665-2020.xlsx", "A 42665-2020")</f>
        <v/>
      </c>
      <c r="T236">
        <f>HYPERLINK("https://klasma.github.io/Logging_0580/kartor/A 42665-2020.png", "A 42665-2020")</f>
        <v/>
      </c>
      <c r="V236">
        <f>HYPERLINK("https://klasma.github.io/Logging_0580/klagomål/A 42665-2020.docx", "A 42665-2020")</f>
        <v/>
      </c>
      <c r="W236">
        <f>HYPERLINK("https://klasma.github.io/Logging_0580/klagomålsmail/A 42665-2020.docx", "A 42665-2020")</f>
        <v/>
      </c>
      <c r="X236">
        <f>HYPERLINK("https://klasma.github.io/Logging_0580/tillsyn/A 42665-2020.docx", "A 42665-2020")</f>
        <v/>
      </c>
      <c r="Y236">
        <f>HYPERLINK("https://klasma.github.io/Logging_0580/tillsynsmail/A 42665-2020.docx", "A 42665-2020")</f>
        <v/>
      </c>
    </row>
    <row r="237" ht="15" customHeight="1">
      <c r="A237" t="inlineStr">
        <is>
          <t>A 44877-2020</t>
        </is>
      </c>
      <c r="B237" s="1" t="n">
        <v>44087</v>
      </c>
      <c r="C237" s="1" t="n">
        <v>45211</v>
      </c>
      <c r="D237" t="inlineStr">
        <is>
          <t>ÖSTERGÖTLANDS LÄN</t>
        </is>
      </c>
      <c r="E237" t="inlineStr">
        <is>
          <t>YDRE</t>
        </is>
      </c>
      <c r="F237" t="inlineStr">
        <is>
          <t>Sveaskog</t>
        </is>
      </c>
      <c r="G237" t="n">
        <v>5.1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s="2" t="inlineStr">
        <is>
          <t>Flagellkvastmossa</t>
        </is>
      </c>
      <c r="S237">
        <f>HYPERLINK("https://klasma.github.io/Logging_0512/artfynd/A 44877-2020.xlsx", "A 44877-2020")</f>
        <v/>
      </c>
      <c r="T237">
        <f>HYPERLINK("https://klasma.github.io/Logging_0512/kartor/A 44877-2020.png", "A 44877-2020")</f>
        <v/>
      </c>
      <c r="V237">
        <f>HYPERLINK("https://klasma.github.io/Logging_0512/klagomål/A 44877-2020.docx", "A 44877-2020")</f>
        <v/>
      </c>
      <c r="W237">
        <f>HYPERLINK("https://klasma.github.io/Logging_0512/klagomålsmail/A 44877-2020.docx", "A 44877-2020")</f>
        <v/>
      </c>
      <c r="X237">
        <f>HYPERLINK("https://klasma.github.io/Logging_0512/tillsyn/A 44877-2020.docx", "A 44877-2020")</f>
        <v/>
      </c>
      <c r="Y237">
        <f>HYPERLINK("https://klasma.github.io/Logging_0512/tillsynsmail/A 44877-2020.docx", "A 44877-2020")</f>
        <v/>
      </c>
    </row>
    <row r="238" ht="15" customHeight="1">
      <c r="A238" t="inlineStr">
        <is>
          <t>A 44930-2020</t>
        </is>
      </c>
      <c r="B238" s="1" t="n">
        <v>44088</v>
      </c>
      <c r="C238" s="1" t="n">
        <v>45211</v>
      </c>
      <c r="D238" t="inlineStr">
        <is>
          <t>ÖSTERGÖTLANDS LÄN</t>
        </is>
      </c>
      <c r="E238" t="inlineStr">
        <is>
          <t>LINKÖPING</t>
        </is>
      </c>
      <c r="G238" t="n">
        <v>2.6</v>
      </c>
      <c r="H238" t="n">
        <v>1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1</v>
      </c>
      <c r="P238" t="n">
        <v>1</v>
      </c>
      <c r="Q238" t="n">
        <v>1</v>
      </c>
      <c r="R238" s="2" t="inlineStr">
        <is>
          <t>Knärot</t>
        </is>
      </c>
      <c r="S238">
        <f>HYPERLINK("https://klasma.github.io/Logging_0580/artfynd/A 44930-2020.xlsx", "A 44930-2020")</f>
        <v/>
      </c>
      <c r="T238">
        <f>HYPERLINK("https://klasma.github.io/Logging_0580/kartor/A 44930-2020.png", "A 44930-2020")</f>
        <v/>
      </c>
      <c r="U238">
        <f>HYPERLINK("https://klasma.github.io/Logging_0580/knärot/A 44930-2020.png", "A 44930-2020")</f>
        <v/>
      </c>
      <c r="V238">
        <f>HYPERLINK("https://klasma.github.io/Logging_0580/klagomål/A 44930-2020.docx", "A 44930-2020")</f>
        <v/>
      </c>
      <c r="W238">
        <f>HYPERLINK("https://klasma.github.io/Logging_0580/klagomålsmail/A 44930-2020.docx", "A 44930-2020")</f>
        <v/>
      </c>
      <c r="X238">
        <f>HYPERLINK("https://klasma.github.io/Logging_0580/tillsyn/A 44930-2020.docx", "A 44930-2020")</f>
        <v/>
      </c>
      <c r="Y238">
        <f>HYPERLINK("https://klasma.github.io/Logging_0580/tillsynsmail/A 44930-2020.docx", "A 44930-2020")</f>
        <v/>
      </c>
    </row>
    <row r="239" ht="15" customHeight="1">
      <c r="A239" t="inlineStr">
        <is>
          <t>A 47233-2020</t>
        </is>
      </c>
      <c r="B239" s="1" t="n">
        <v>44092</v>
      </c>
      <c r="C239" s="1" t="n">
        <v>45211</v>
      </c>
      <c r="D239" t="inlineStr">
        <is>
          <t>ÖSTERGÖTLANDS LÄN</t>
        </is>
      </c>
      <c r="E239" t="inlineStr">
        <is>
          <t>KINDA</t>
        </is>
      </c>
      <c r="G239" t="n">
        <v>2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s="2" t="inlineStr">
        <is>
          <t>Tibast</t>
        </is>
      </c>
      <c r="S239">
        <f>HYPERLINK("https://klasma.github.io/Logging_0513/artfynd/A 47233-2020.xlsx", "A 47233-2020")</f>
        <v/>
      </c>
      <c r="T239">
        <f>HYPERLINK("https://klasma.github.io/Logging_0513/kartor/A 47233-2020.png", "A 47233-2020")</f>
        <v/>
      </c>
      <c r="U239">
        <f>HYPERLINK("https://klasma.github.io/Logging_0513/knärot/A 47233-2020.png", "A 47233-2020")</f>
        <v/>
      </c>
      <c r="V239">
        <f>HYPERLINK("https://klasma.github.io/Logging_0513/klagomål/A 47233-2020.docx", "A 47233-2020")</f>
        <v/>
      </c>
      <c r="W239">
        <f>HYPERLINK("https://klasma.github.io/Logging_0513/klagomålsmail/A 47233-2020.docx", "A 47233-2020")</f>
        <v/>
      </c>
      <c r="X239">
        <f>HYPERLINK("https://klasma.github.io/Logging_0513/tillsyn/A 47233-2020.docx", "A 47233-2020")</f>
        <v/>
      </c>
      <c r="Y239">
        <f>HYPERLINK("https://klasma.github.io/Logging_0513/tillsynsmail/A 47233-2020.docx", "A 47233-2020")</f>
        <v/>
      </c>
    </row>
    <row r="240" ht="15" customHeight="1">
      <c r="A240" t="inlineStr">
        <is>
          <t>A 48984-2020</t>
        </is>
      </c>
      <c r="B240" s="1" t="n">
        <v>44104</v>
      </c>
      <c r="C240" s="1" t="n">
        <v>45211</v>
      </c>
      <c r="D240" t="inlineStr">
        <is>
          <t>ÖSTERGÖTLANDS LÄN</t>
        </is>
      </c>
      <c r="E240" t="inlineStr">
        <is>
          <t>LINKÖPING</t>
        </is>
      </c>
      <c r="G240" t="n">
        <v>2.8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1</v>
      </c>
      <c r="R240" s="2" t="inlineStr">
        <is>
          <t>Vårstarr</t>
        </is>
      </c>
      <c r="S240">
        <f>HYPERLINK("https://klasma.github.io/Logging_0580/artfynd/A 48984-2020.xlsx", "A 48984-2020")</f>
        <v/>
      </c>
      <c r="T240">
        <f>HYPERLINK("https://klasma.github.io/Logging_0580/kartor/A 48984-2020.png", "A 48984-2020")</f>
        <v/>
      </c>
      <c r="V240">
        <f>HYPERLINK("https://klasma.github.io/Logging_0580/klagomål/A 48984-2020.docx", "A 48984-2020")</f>
        <v/>
      </c>
      <c r="W240">
        <f>HYPERLINK("https://klasma.github.io/Logging_0580/klagomålsmail/A 48984-2020.docx", "A 48984-2020")</f>
        <v/>
      </c>
      <c r="X240">
        <f>HYPERLINK("https://klasma.github.io/Logging_0580/tillsyn/A 48984-2020.docx", "A 48984-2020")</f>
        <v/>
      </c>
      <c r="Y240">
        <f>HYPERLINK("https://klasma.github.io/Logging_0580/tillsynsmail/A 48984-2020.docx", "A 48984-2020")</f>
        <v/>
      </c>
    </row>
    <row r="241" ht="15" customHeight="1">
      <c r="A241" t="inlineStr">
        <is>
          <t>A 53268-2020</t>
        </is>
      </c>
      <c r="B241" s="1" t="n">
        <v>44123</v>
      </c>
      <c r="C241" s="1" t="n">
        <v>45211</v>
      </c>
      <c r="D241" t="inlineStr">
        <is>
          <t>ÖSTERGÖTLANDS LÄN</t>
        </is>
      </c>
      <c r="E241" t="inlineStr">
        <is>
          <t>BOXHOLM</t>
        </is>
      </c>
      <c r="G241" t="n">
        <v>1.3</v>
      </c>
      <c r="H241" t="n">
        <v>1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  <c r="P241" t="n">
        <v>1</v>
      </c>
      <c r="Q241" t="n">
        <v>1</v>
      </c>
      <c r="R241" s="2" t="inlineStr">
        <is>
          <t>Knärot</t>
        </is>
      </c>
      <c r="S241">
        <f>HYPERLINK("https://klasma.github.io/Logging_0560/artfynd/A 53268-2020.xlsx", "A 53268-2020")</f>
        <v/>
      </c>
      <c r="T241">
        <f>HYPERLINK("https://klasma.github.io/Logging_0560/kartor/A 53268-2020.png", "A 53268-2020")</f>
        <v/>
      </c>
      <c r="U241">
        <f>HYPERLINK("https://klasma.github.io/Logging_0560/knärot/A 53268-2020.png", "A 53268-2020")</f>
        <v/>
      </c>
      <c r="V241">
        <f>HYPERLINK("https://klasma.github.io/Logging_0560/klagomål/A 53268-2020.docx", "A 53268-2020")</f>
        <v/>
      </c>
      <c r="W241">
        <f>HYPERLINK("https://klasma.github.io/Logging_0560/klagomålsmail/A 53268-2020.docx", "A 53268-2020")</f>
        <v/>
      </c>
      <c r="X241">
        <f>HYPERLINK("https://klasma.github.io/Logging_0560/tillsyn/A 53268-2020.docx", "A 53268-2020")</f>
        <v/>
      </c>
      <c r="Y241">
        <f>HYPERLINK("https://klasma.github.io/Logging_0560/tillsynsmail/A 53268-2020.docx", "A 53268-2020")</f>
        <v/>
      </c>
    </row>
    <row r="242" ht="15" customHeight="1">
      <c r="A242" t="inlineStr">
        <is>
          <t>A 54832-2020</t>
        </is>
      </c>
      <c r="B242" s="1" t="n">
        <v>44127</v>
      </c>
      <c r="C242" s="1" t="n">
        <v>45211</v>
      </c>
      <c r="D242" t="inlineStr">
        <is>
          <t>ÖSTERGÖTLANDS LÄN</t>
        </is>
      </c>
      <c r="E242" t="inlineStr">
        <is>
          <t>FINSPÅNG</t>
        </is>
      </c>
      <c r="G242" t="n">
        <v>5.6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s="2" t="inlineStr">
        <is>
          <t>Grön aspvedbock</t>
        </is>
      </c>
      <c r="S242">
        <f>HYPERLINK("https://klasma.github.io/Logging_0562/artfynd/A 54832-2020.xlsx", "A 54832-2020")</f>
        <v/>
      </c>
      <c r="T242">
        <f>HYPERLINK("https://klasma.github.io/Logging_0562/kartor/A 54832-2020.png", "A 54832-2020")</f>
        <v/>
      </c>
      <c r="V242">
        <f>HYPERLINK("https://klasma.github.io/Logging_0562/klagomål/A 54832-2020.docx", "A 54832-2020")</f>
        <v/>
      </c>
      <c r="W242">
        <f>HYPERLINK("https://klasma.github.io/Logging_0562/klagomålsmail/A 54832-2020.docx", "A 54832-2020")</f>
        <v/>
      </c>
      <c r="X242">
        <f>HYPERLINK("https://klasma.github.io/Logging_0562/tillsyn/A 54832-2020.docx", "A 54832-2020")</f>
        <v/>
      </c>
      <c r="Y242">
        <f>HYPERLINK("https://klasma.github.io/Logging_0562/tillsynsmail/A 54832-2020.docx", "A 54832-2020")</f>
        <v/>
      </c>
    </row>
    <row r="243" ht="15" customHeight="1">
      <c r="A243" t="inlineStr">
        <is>
          <t>A 55901-2020</t>
        </is>
      </c>
      <c r="B243" s="1" t="n">
        <v>44132</v>
      </c>
      <c r="C243" s="1" t="n">
        <v>45211</v>
      </c>
      <c r="D243" t="inlineStr">
        <is>
          <t>ÖSTERGÖTLANDS LÄN</t>
        </is>
      </c>
      <c r="E243" t="inlineStr">
        <is>
          <t>NORRKÖPING</t>
        </is>
      </c>
      <c r="F243" t="inlineStr">
        <is>
          <t>Allmännings- och besparingsskogar</t>
        </is>
      </c>
      <c r="G243" t="n">
        <v>6.8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s="2" t="inlineStr">
        <is>
          <t>Skogshare</t>
        </is>
      </c>
      <c r="S243">
        <f>HYPERLINK("https://klasma.github.io/Logging_0581/artfynd/A 55901-2020.xlsx", "A 55901-2020")</f>
        <v/>
      </c>
      <c r="T243">
        <f>HYPERLINK("https://klasma.github.io/Logging_0581/kartor/A 55901-2020.png", "A 55901-2020")</f>
        <v/>
      </c>
      <c r="V243">
        <f>HYPERLINK("https://klasma.github.io/Logging_0581/klagomål/A 55901-2020.docx", "A 55901-2020")</f>
        <v/>
      </c>
      <c r="W243">
        <f>HYPERLINK("https://klasma.github.io/Logging_0581/klagomålsmail/A 55901-2020.docx", "A 55901-2020")</f>
        <v/>
      </c>
      <c r="X243">
        <f>HYPERLINK("https://klasma.github.io/Logging_0581/tillsyn/A 55901-2020.docx", "A 55901-2020")</f>
        <v/>
      </c>
      <c r="Y243">
        <f>HYPERLINK("https://klasma.github.io/Logging_0581/tillsynsmail/A 55901-2020.docx", "A 55901-2020")</f>
        <v/>
      </c>
    </row>
    <row r="244" ht="15" customHeight="1">
      <c r="A244" t="inlineStr">
        <is>
          <t>A 57912-2020</t>
        </is>
      </c>
      <c r="B244" s="1" t="n">
        <v>44140</v>
      </c>
      <c r="C244" s="1" t="n">
        <v>45211</v>
      </c>
      <c r="D244" t="inlineStr">
        <is>
          <t>ÖSTERGÖTLANDS LÄN</t>
        </is>
      </c>
      <c r="E244" t="inlineStr">
        <is>
          <t>SÖDERKÖPING</t>
        </is>
      </c>
      <c r="G244" t="n">
        <v>12.3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1</v>
      </c>
      <c r="R244" s="2" t="inlineStr">
        <is>
          <t>Gul dropplav</t>
        </is>
      </c>
      <c r="S244">
        <f>HYPERLINK("https://klasma.github.io/Logging_0582/artfynd/A 57912-2020.xlsx", "A 57912-2020")</f>
        <v/>
      </c>
      <c r="T244">
        <f>HYPERLINK("https://klasma.github.io/Logging_0582/kartor/A 57912-2020.png", "A 57912-2020")</f>
        <v/>
      </c>
      <c r="V244">
        <f>HYPERLINK("https://klasma.github.io/Logging_0582/klagomål/A 57912-2020.docx", "A 57912-2020")</f>
        <v/>
      </c>
      <c r="W244">
        <f>HYPERLINK("https://klasma.github.io/Logging_0582/klagomålsmail/A 57912-2020.docx", "A 57912-2020")</f>
        <v/>
      </c>
      <c r="X244">
        <f>HYPERLINK("https://klasma.github.io/Logging_0582/tillsyn/A 57912-2020.docx", "A 57912-2020")</f>
        <v/>
      </c>
      <c r="Y244">
        <f>HYPERLINK("https://klasma.github.io/Logging_0582/tillsynsmail/A 57912-2020.docx", "A 57912-2020")</f>
        <v/>
      </c>
    </row>
    <row r="245" ht="15" customHeight="1">
      <c r="A245" t="inlineStr">
        <is>
          <t>A 58735-2020</t>
        </is>
      </c>
      <c r="B245" s="1" t="n">
        <v>44145</v>
      </c>
      <c r="C245" s="1" t="n">
        <v>45211</v>
      </c>
      <c r="D245" t="inlineStr">
        <is>
          <t>ÖSTERGÖTLANDS LÄN</t>
        </is>
      </c>
      <c r="E245" t="inlineStr">
        <is>
          <t>ÅTVIDABERG</t>
        </is>
      </c>
      <c r="G245" t="n">
        <v>1.5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s="2" t="inlineStr">
        <is>
          <t>Granbarkgnagare</t>
        </is>
      </c>
      <c r="S245">
        <f>HYPERLINK("https://klasma.github.io/Logging_0561/artfynd/A 58735-2020.xlsx", "A 58735-2020")</f>
        <v/>
      </c>
      <c r="T245">
        <f>HYPERLINK("https://klasma.github.io/Logging_0561/kartor/A 58735-2020.png", "A 58735-2020")</f>
        <v/>
      </c>
      <c r="V245">
        <f>HYPERLINK("https://klasma.github.io/Logging_0561/klagomål/A 58735-2020.docx", "A 58735-2020")</f>
        <v/>
      </c>
      <c r="W245">
        <f>HYPERLINK("https://klasma.github.io/Logging_0561/klagomålsmail/A 58735-2020.docx", "A 58735-2020")</f>
        <v/>
      </c>
      <c r="X245">
        <f>HYPERLINK("https://klasma.github.io/Logging_0561/tillsyn/A 58735-2020.docx", "A 58735-2020")</f>
        <v/>
      </c>
      <c r="Y245">
        <f>HYPERLINK("https://klasma.github.io/Logging_0561/tillsynsmail/A 58735-2020.docx", "A 58735-2020")</f>
        <v/>
      </c>
    </row>
    <row r="246" ht="15" customHeight="1">
      <c r="A246" t="inlineStr">
        <is>
          <t>A 65400-2020</t>
        </is>
      </c>
      <c r="B246" s="1" t="n">
        <v>44173</v>
      </c>
      <c r="C246" s="1" t="n">
        <v>45211</v>
      </c>
      <c r="D246" t="inlineStr">
        <is>
          <t>ÖSTERGÖTLANDS LÄN</t>
        </is>
      </c>
      <c r="E246" t="inlineStr">
        <is>
          <t>VALDEMARSVIK</t>
        </is>
      </c>
      <c r="G246" t="n">
        <v>4.5</v>
      </c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s="2" t="inlineStr">
        <is>
          <t>Nästrot</t>
        </is>
      </c>
      <c r="S246">
        <f>HYPERLINK("https://klasma.github.io/Logging_0563/artfynd/A 65400-2020.xlsx", "A 65400-2020")</f>
        <v/>
      </c>
      <c r="T246">
        <f>HYPERLINK("https://klasma.github.io/Logging_0563/kartor/A 65400-2020.png", "A 65400-2020")</f>
        <v/>
      </c>
      <c r="V246">
        <f>HYPERLINK("https://klasma.github.io/Logging_0563/klagomål/A 65400-2020.docx", "A 65400-2020")</f>
        <v/>
      </c>
      <c r="W246">
        <f>HYPERLINK("https://klasma.github.io/Logging_0563/klagomålsmail/A 65400-2020.docx", "A 65400-2020")</f>
        <v/>
      </c>
      <c r="X246">
        <f>HYPERLINK("https://klasma.github.io/Logging_0563/tillsyn/A 65400-2020.docx", "A 65400-2020")</f>
        <v/>
      </c>
      <c r="Y246">
        <f>HYPERLINK("https://klasma.github.io/Logging_0563/tillsynsmail/A 65400-2020.docx", "A 65400-2020")</f>
        <v/>
      </c>
    </row>
    <row r="247" ht="15" customHeight="1">
      <c r="A247" t="inlineStr">
        <is>
          <t>A 67252-2020</t>
        </is>
      </c>
      <c r="B247" s="1" t="n">
        <v>44181</v>
      </c>
      <c r="C247" s="1" t="n">
        <v>45211</v>
      </c>
      <c r="D247" t="inlineStr">
        <is>
          <t>ÖSTERGÖTLANDS LÄN</t>
        </is>
      </c>
      <c r="E247" t="inlineStr">
        <is>
          <t>ÅTVIDABERG</t>
        </is>
      </c>
      <c r="G247" t="n">
        <v>3.1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s="2" t="inlineStr">
        <is>
          <t>Blåsippa</t>
        </is>
      </c>
      <c r="S247">
        <f>HYPERLINK("https://klasma.github.io/Logging_0561/artfynd/A 67252-2020.xlsx", "A 67252-2020")</f>
        <v/>
      </c>
      <c r="T247">
        <f>HYPERLINK("https://klasma.github.io/Logging_0561/kartor/A 67252-2020.png", "A 67252-2020")</f>
        <v/>
      </c>
      <c r="V247">
        <f>HYPERLINK("https://klasma.github.io/Logging_0561/klagomål/A 67252-2020.docx", "A 67252-2020")</f>
        <v/>
      </c>
      <c r="W247">
        <f>HYPERLINK("https://klasma.github.io/Logging_0561/klagomålsmail/A 67252-2020.docx", "A 67252-2020")</f>
        <v/>
      </c>
      <c r="X247">
        <f>HYPERLINK("https://klasma.github.io/Logging_0561/tillsyn/A 67252-2020.docx", "A 67252-2020")</f>
        <v/>
      </c>
      <c r="Y247">
        <f>HYPERLINK("https://klasma.github.io/Logging_0561/tillsynsmail/A 67252-2020.docx", "A 67252-2020")</f>
        <v/>
      </c>
    </row>
    <row r="248" ht="15" customHeight="1">
      <c r="A248" t="inlineStr">
        <is>
          <t>A 67653-2020</t>
        </is>
      </c>
      <c r="B248" s="1" t="n">
        <v>44182</v>
      </c>
      <c r="C248" s="1" t="n">
        <v>45211</v>
      </c>
      <c r="D248" t="inlineStr">
        <is>
          <t>ÖSTERGÖTLANDS LÄN</t>
        </is>
      </c>
      <c r="E248" t="inlineStr">
        <is>
          <t>ÅTVIDABERG</t>
        </is>
      </c>
      <c r="G248" t="n">
        <v>1.4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s="2" t="inlineStr">
        <is>
          <t>Blåsippa</t>
        </is>
      </c>
      <c r="S248">
        <f>HYPERLINK("https://klasma.github.io/Logging_0561/artfynd/A 67653-2020.xlsx", "A 67653-2020")</f>
        <v/>
      </c>
      <c r="T248">
        <f>HYPERLINK("https://klasma.github.io/Logging_0561/kartor/A 67653-2020.png", "A 67653-2020")</f>
        <v/>
      </c>
      <c r="V248">
        <f>HYPERLINK("https://klasma.github.io/Logging_0561/klagomål/A 67653-2020.docx", "A 67653-2020")</f>
        <v/>
      </c>
      <c r="W248">
        <f>HYPERLINK("https://klasma.github.io/Logging_0561/klagomålsmail/A 67653-2020.docx", "A 67653-2020")</f>
        <v/>
      </c>
      <c r="X248">
        <f>HYPERLINK("https://klasma.github.io/Logging_0561/tillsyn/A 67653-2020.docx", "A 67653-2020")</f>
        <v/>
      </c>
      <c r="Y248">
        <f>HYPERLINK("https://klasma.github.io/Logging_0561/tillsynsmail/A 67653-2020.docx", "A 67653-2020")</f>
        <v/>
      </c>
    </row>
    <row r="249" ht="15" customHeight="1">
      <c r="A249" t="inlineStr">
        <is>
          <t>A 68768-2020</t>
        </is>
      </c>
      <c r="B249" s="1" t="n">
        <v>44187</v>
      </c>
      <c r="C249" s="1" t="n">
        <v>45211</v>
      </c>
      <c r="D249" t="inlineStr">
        <is>
          <t>ÖSTERGÖTLANDS LÄN</t>
        </is>
      </c>
      <c r="E249" t="inlineStr">
        <is>
          <t>YDRE</t>
        </is>
      </c>
      <c r="G249" t="n">
        <v>3.2</v>
      </c>
      <c r="H249" t="n">
        <v>1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s="2" t="inlineStr">
        <is>
          <t>Smålom</t>
        </is>
      </c>
      <c r="S249">
        <f>HYPERLINK("https://klasma.github.io/Logging_0512/artfynd/A 68768-2020.xlsx", "A 68768-2020")</f>
        <v/>
      </c>
      <c r="T249">
        <f>HYPERLINK("https://klasma.github.io/Logging_0512/kartor/A 68768-2020.png", "A 68768-2020")</f>
        <v/>
      </c>
      <c r="V249">
        <f>HYPERLINK("https://klasma.github.io/Logging_0512/klagomål/A 68768-2020.docx", "A 68768-2020")</f>
        <v/>
      </c>
      <c r="W249">
        <f>HYPERLINK("https://klasma.github.io/Logging_0512/klagomålsmail/A 68768-2020.docx", "A 68768-2020")</f>
        <v/>
      </c>
      <c r="X249">
        <f>HYPERLINK("https://klasma.github.io/Logging_0512/tillsyn/A 68768-2020.docx", "A 68768-2020")</f>
        <v/>
      </c>
      <c r="Y249">
        <f>HYPERLINK("https://klasma.github.io/Logging_0512/tillsynsmail/A 68768-2020.docx", "A 68768-2020")</f>
        <v/>
      </c>
    </row>
    <row r="250" ht="15" customHeight="1">
      <c r="A250" t="inlineStr">
        <is>
          <t>A 910-2021</t>
        </is>
      </c>
      <c r="B250" s="1" t="n">
        <v>44207</v>
      </c>
      <c r="C250" s="1" t="n">
        <v>45211</v>
      </c>
      <c r="D250" t="inlineStr">
        <is>
          <t>ÖSTERGÖTLANDS LÄN</t>
        </is>
      </c>
      <c r="E250" t="inlineStr">
        <is>
          <t>ÅTVIDABERG</t>
        </is>
      </c>
      <c r="G250" t="n">
        <v>2.5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s="2" t="inlineStr">
        <is>
          <t>Ekoxe</t>
        </is>
      </c>
      <c r="S250">
        <f>HYPERLINK("https://klasma.github.io/Logging_0561/artfynd/A 910-2021.xlsx", "A 910-2021")</f>
        <v/>
      </c>
      <c r="T250">
        <f>HYPERLINK("https://klasma.github.io/Logging_0561/kartor/A 910-2021.png", "A 910-2021")</f>
        <v/>
      </c>
      <c r="V250">
        <f>HYPERLINK("https://klasma.github.io/Logging_0561/klagomål/A 910-2021.docx", "A 910-2021")</f>
        <v/>
      </c>
      <c r="W250">
        <f>HYPERLINK("https://klasma.github.io/Logging_0561/klagomålsmail/A 910-2021.docx", "A 910-2021")</f>
        <v/>
      </c>
      <c r="X250">
        <f>HYPERLINK("https://klasma.github.io/Logging_0561/tillsyn/A 910-2021.docx", "A 910-2021")</f>
        <v/>
      </c>
      <c r="Y250">
        <f>HYPERLINK("https://klasma.github.io/Logging_0561/tillsynsmail/A 910-2021.docx", "A 910-2021")</f>
        <v/>
      </c>
    </row>
    <row r="251" ht="15" customHeight="1">
      <c r="A251" t="inlineStr">
        <is>
          <t>A 6299-2021</t>
        </is>
      </c>
      <c r="B251" s="1" t="n">
        <v>44232</v>
      </c>
      <c r="C251" s="1" t="n">
        <v>45211</v>
      </c>
      <c r="D251" t="inlineStr">
        <is>
          <t>ÖSTERGÖTLANDS LÄN</t>
        </is>
      </c>
      <c r="E251" t="inlineStr">
        <is>
          <t>ÅTVIDABERG</t>
        </is>
      </c>
      <c r="G251" t="n">
        <v>1.2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1</v>
      </c>
      <c r="R251" s="2" t="inlineStr">
        <is>
          <t>Tallticka</t>
        </is>
      </c>
      <c r="S251">
        <f>HYPERLINK("https://klasma.github.io/Logging_0561/artfynd/A 6299-2021.xlsx", "A 6299-2021")</f>
        <v/>
      </c>
      <c r="T251">
        <f>HYPERLINK("https://klasma.github.io/Logging_0561/kartor/A 6299-2021.png", "A 6299-2021")</f>
        <v/>
      </c>
      <c r="V251">
        <f>HYPERLINK("https://klasma.github.io/Logging_0561/klagomål/A 6299-2021.docx", "A 6299-2021")</f>
        <v/>
      </c>
      <c r="W251">
        <f>HYPERLINK("https://klasma.github.io/Logging_0561/klagomålsmail/A 6299-2021.docx", "A 6299-2021")</f>
        <v/>
      </c>
      <c r="X251">
        <f>HYPERLINK("https://klasma.github.io/Logging_0561/tillsyn/A 6299-2021.docx", "A 6299-2021")</f>
        <v/>
      </c>
      <c r="Y251">
        <f>HYPERLINK("https://klasma.github.io/Logging_0561/tillsynsmail/A 6299-2021.docx", "A 6299-2021")</f>
        <v/>
      </c>
    </row>
    <row r="252" ht="15" customHeight="1">
      <c r="A252" t="inlineStr">
        <is>
          <t>A 6428-2021</t>
        </is>
      </c>
      <c r="B252" s="1" t="n">
        <v>44235</v>
      </c>
      <c r="C252" s="1" t="n">
        <v>45211</v>
      </c>
      <c r="D252" t="inlineStr">
        <is>
          <t>ÖSTERGÖTLANDS LÄN</t>
        </is>
      </c>
      <c r="E252" t="inlineStr">
        <is>
          <t>KINDA</t>
        </is>
      </c>
      <c r="F252" t="inlineStr">
        <is>
          <t>Kommuner</t>
        </is>
      </c>
      <c r="G252" t="n">
        <v>5.9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1</v>
      </c>
      <c r="P252" t="n">
        <v>1</v>
      </c>
      <c r="Q252" t="n">
        <v>1</v>
      </c>
      <c r="R252" s="2" t="inlineStr">
        <is>
          <t>Ask</t>
        </is>
      </c>
      <c r="S252">
        <f>HYPERLINK("https://klasma.github.io/Logging_0513/artfynd/A 6428-2021.xlsx", "A 6428-2021")</f>
        <v/>
      </c>
      <c r="T252">
        <f>HYPERLINK("https://klasma.github.io/Logging_0513/kartor/A 6428-2021.png", "A 6428-2021")</f>
        <v/>
      </c>
      <c r="V252">
        <f>HYPERLINK("https://klasma.github.io/Logging_0513/klagomål/A 6428-2021.docx", "A 6428-2021")</f>
        <v/>
      </c>
      <c r="W252">
        <f>HYPERLINK("https://klasma.github.io/Logging_0513/klagomålsmail/A 6428-2021.docx", "A 6428-2021")</f>
        <v/>
      </c>
      <c r="X252">
        <f>HYPERLINK("https://klasma.github.io/Logging_0513/tillsyn/A 6428-2021.docx", "A 6428-2021")</f>
        <v/>
      </c>
      <c r="Y252">
        <f>HYPERLINK("https://klasma.github.io/Logging_0513/tillsynsmail/A 6428-2021.docx", "A 6428-2021")</f>
        <v/>
      </c>
    </row>
    <row r="253" ht="15" customHeight="1">
      <c r="A253" t="inlineStr">
        <is>
          <t>A 12446-2021</t>
        </is>
      </c>
      <c r="B253" s="1" t="n">
        <v>44267</v>
      </c>
      <c r="C253" s="1" t="n">
        <v>45211</v>
      </c>
      <c r="D253" t="inlineStr">
        <is>
          <t>ÖSTERGÖTLANDS LÄN</t>
        </is>
      </c>
      <c r="E253" t="inlineStr">
        <is>
          <t>FINSPÅNG</t>
        </is>
      </c>
      <c r="F253" t="inlineStr">
        <is>
          <t>Övriga Aktiebolag</t>
        </is>
      </c>
      <c r="G253" t="n">
        <v>4.6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s="2" t="inlineStr">
        <is>
          <t>Fällmossa</t>
        </is>
      </c>
      <c r="S253">
        <f>HYPERLINK("https://klasma.github.io/Logging_0562/artfynd/A 12446-2021.xlsx", "A 12446-2021")</f>
        <v/>
      </c>
      <c r="T253">
        <f>HYPERLINK("https://klasma.github.io/Logging_0562/kartor/A 12446-2021.png", "A 12446-2021")</f>
        <v/>
      </c>
      <c r="V253">
        <f>HYPERLINK("https://klasma.github.io/Logging_0562/klagomål/A 12446-2021.docx", "A 12446-2021")</f>
        <v/>
      </c>
      <c r="W253">
        <f>HYPERLINK("https://klasma.github.io/Logging_0562/klagomålsmail/A 12446-2021.docx", "A 12446-2021")</f>
        <v/>
      </c>
      <c r="X253">
        <f>HYPERLINK("https://klasma.github.io/Logging_0562/tillsyn/A 12446-2021.docx", "A 12446-2021")</f>
        <v/>
      </c>
      <c r="Y253">
        <f>HYPERLINK("https://klasma.github.io/Logging_0562/tillsynsmail/A 12446-2021.docx", "A 12446-2021")</f>
        <v/>
      </c>
    </row>
    <row r="254" ht="15" customHeight="1">
      <c r="A254" t="inlineStr">
        <is>
          <t>A 12457-2021</t>
        </is>
      </c>
      <c r="B254" s="1" t="n">
        <v>44267</v>
      </c>
      <c r="C254" s="1" t="n">
        <v>45211</v>
      </c>
      <c r="D254" t="inlineStr">
        <is>
          <t>ÖSTERGÖTLANDS LÄN</t>
        </is>
      </c>
      <c r="E254" t="inlineStr">
        <is>
          <t>NORRKÖPING</t>
        </is>
      </c>
      <c r="G254" t="n">
        <v>5.2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s="2" t="inlineStr">
        <is>
          <t>Lopplummer</t>
        </is>
      </c>
      <c r="S254">
        <f>HYPERLINK("https://klasma.github.io/Logging_0581/artfynd/A 12457-2021.xlsx", "A 12457-2021")</f>
        <v/>
      </c>
      <c r="T254">
        <f>HYPERLINK("https://klasma.github.io/Logging_0581/kartor/A 12457-2021.png", "A 12457-2021")</f>
        <v/>
      </c>
      <c r="V254">
        <f>HYPERLINK("https://klasma.github.io/Logging_0581/klagomål/A 12457-2021.docx", "A 12457-2021")</f>
        <v/>
      </c>
      <c r="W254">
        <f>HYPERLINK("https://klasma.github.io/Logging_0581/klagomålsmail/A 12457-2021.docx", "A 12457-2021")</f>
        <v/>
      </c>
      <c r="X254">
        <f>HYPERLINK("https://klasma.github.io/Logging_0581/tillsyn/A 12457-2021.docx", "A 12457-2021")</f>
        <v/>
      </c>
      <c r="Y254">
        <f>HYPERLINK("https://klasma.github.io/Logging_0581/tillsynsmail/A 12457-2021.docx", "A 12457-2021")</f>
        <v/>
      </c>
    </row>
    <row r="255" ht="15" customHeight="1">
      <c r="A255" t="inlineStr">
        <is>
          <t>A 14096-2021</t>
        </is>
      </c>
      <c r="B255" s="1" t="n">
        <v>44278</v>
      </c>
      <c r="C255" s="1" t="n">
        <v>45211</v>
      </c>
      <c r="D255" t="inlineStr">
        <is>
          <t>ÖSTERGÖTLANDS LÄN</t>
        </is>
      </c>
      <c r="E255" t="inlineStr">
        <is>
          <t>LINKÖPING</t>
        </is>
      </c>
      <c r="G255" t="n">
        <v>1.7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s="2" t="inlineStr">
        <is>
          <t>Vedtrappmossa</t>
        </is>
      </c>
      <c r="S255">
        <f>HYPERLINK("https://klasma.github.io/Logging_0580/artfynd/A 14096-2021.xlsx", "A 14096-2021")</f>
        <v/>
      </c>
      <c r="T255">
        <f>HYPERLINK("https://klasma.github.io/Logging_0580/kartor/A 14096-2021.png", "A 14096-2021")</f>
        <v/>
      </c>
      <c r="V255">
        <f>HYPERLINK("https://klasma.github.io/Logging_0580/klagomål/A 14096-2021.docx", "A 14096-2021")</f>
        <v/>
      </c>
      <c r="W255">
        <f>HYPERLINK("https://klasma.github.io/Logging_0580/klagomålsmail/A 14096-2021.docx", "A 14096-2021")</f>
        <v/>
      </c>
      <c r="X255">
        <f>HYPERLINK("https://klasma.github.io/Logging_0580/tillsyn/A 14096-2021.docx", "A 14096-2021")</f>
        <v/>
      </c>
      <c r="Y255">
        <f>HYPERLINK("https://klasma.github.io/Logging_0580/tillsynsmail/A 14096-2021.docx", "A 14096-2021")</f>
        <v/>
      </c>
    </row>
    <row r="256" ht="15" customHeight="1">
      <c r="A256" t="inlineStr">
        <is>
          <t>A 15475-2021</t>
        </is>
      </c>
      <c r="B256" s="1" t="n">
        <v>44285</v>
      </c>
      <c r="C256" s="1" t="n">
        <v>45211</v>
      </c>
      <c r="D256" t="inlineStr">
        <is>
          <t>ÖSTERGÖTLANDS LÄN</t>
        </is>
      </c>
      <c r="E256" t="inlineStr">
        <is>
          <t>LINKÖPING</t>
        </is>
      </c>
      <c r="F256" t="inlineStr">
        <is>
          <t>Kommuner</t>
        </is>
      </c>
      <c r="G256" t="n">
        <v>10.2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1</v>
      </c>
      <c r="P256" t="n">
        <v>1</v>
      </c>
      <c r="Q256" t="n">
        <v>1</v>
      </c>
      <c r="R256" s="2" t="inlineStr">
        <is>
          <t>Skogsalm</t>
        </is>
      </c>
      <c r="S256">
        <f>HYPERLINK("https://klasma.github.io/Logging_0580/artfynd/A 15475-2021.xlsx", "A 15475-2021")</f>
        <v/>
      </c>
      <c r="T256">
        <f>HYPERLINK("https://klasma.github.io/Logging_0580/kartor/A 15475-2021.png", "A 15475-2021")</f>
        <v/>
      </c>
      <c r="V256">
        <f>HYPERLINK("https://klasma.github.io/Logging_0580/klagomål/A 15475-2021.docx", "A 15475-2021")</f>
        <v/>
      </c>
      <c r="W256">
        <f>HYPERLINK("https://klasma.github.io/Logging_0580/klagomålsmail/A 15475-2021.docx", "A 15475-2021")</f>
        <v/>
      </c>
      <c r="X256">
        <f>HYPERLINK("https://klasma.github.io/Logging_0580/tillsyn/A 15475-2021.docx", "A 15475-2021")</f>
        <v/>
      </c>
      <c r="Y256">
        <f>HYPERLINK("https://klasma.github.io/Logging_0580/tillsynsmail/A 15475-2021.docx", "A 15475-2021")</f>
        <v/>
      </c>
    </row>
    <row r="257" ht="15" customHeight="1">
      <c r="A257" t="inlineStr">
        <is>
          <t>A 16388-2021</t>
        </is>
      </c>
      <c r="B257" s="1" t="n">
        <v>44293</v>
      </c>
      <c r="C257" s="1" t="n">
        <v>45211</v>
      </c>
      <c r="D257" t="inlineStr">
        <is>
          <t>ÖSTERGÖTLANDS LÄN</t>
        </is>
      </c>
      <c r="E257" t="inlineStr">
        <is>
          <t>VALDEMARSVIK</t>
        </is>
      </c>
      <c r="F257" t="inlineStr">
        <is>
          <t>Kommuner</t>
        </is>
      </c>
      <c r="G257" t="n">
        <v>5.8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s="2" t="inlineStr">
        <is>
          <t>Svedjenäva</t>
        </is>
      </c>
      <c r="S257">
        <f>HYPERLINK("https://klasma.github.io/Logging_0563/artfynd/A 16388-2021.xlsx", "A 16388-2021")</f>
        <v/>
      </c>
      <c r="T257">
        <f>HYPERLINK("https://klasma.github.io/Logging_0563/kartor/A 16388-2021.png", "A 16388-2021")</f>
        <v/>
      </c>
      <c r="V257">
        <f>HYPERLINK("https://klasma.github.io/Logging_0563/klagomål/A 16388-2021.docx", "A 16388-2021")</f>
        <v/>
      </c>
      <c r="W257">
        <f>HYPERLINK("https://klasma.github.io/Logging_0563/klagomålsmail/A 16388-2021.docx", "A 16388-2021")</f>
        <v/>
      </c>
      <c r="X257">
        <f>HYPERLINK("https://klasma.github.io/Logging_0563/tillsyn/A 16388-2021.docx", "A 16388-2021")</f>
        <v/>
      </c>
      <c r="Y257">
        <f>HYPERLINK("https://klasma.github.io/Logging_0563/tillsynsmail/A 16388-2021.docx", "A 16388-2021")</f>
        <v/>
      </c>
    </row>
    <row r="258" ht="15" customHeight="1">
      <c r="A258" t="inlineStr">
        <is>
          <t>A 16870-2021</t>
        </is>
      </c>
      <c r="B258" s="1" t="n">
        <v>44293</v>
      </c>
      <c r="C258" s="1" t="n">
        <v>45211</v>
      </c>
      <c r="D258" t="inlineStr">
        <is>
          <t>ÖSTERGÖTLANDS LÄN</t>
        </is>
      </c>
      <c r="E258" t="inlineStr">
        <is>
          <t>MOTALA</t>
        </is>
      </c>
      <c r="G258" t="n">
        <v>11.1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1</v>
      </c>
      <c r="P258" t="n">
        <v>1</v>
      </c>
      <c r="Q258" t="n">
        <v>1</v>
      </c>
      <c r="R258" s="2" t="inlineStr">
        <is>
          <t>Ask</t>
        </is>
      </c>
      <c r="S258">
        <f>HYPERLINK("https://klasma.github.io/Logging_0583/artfynd/A 16870-2021.xlsx", "A 16870-2021")</f>
        <v/>
      </c>
      <c r="T258">
        <f>HYPERLINK("https://klasma.github.io/Logging_0583/kartor/A 16870-2021.png", "A 16870-2021")</f>
        <v/>
      </c>
      <c r="V258">
        <f>HYPERLINK("https://klasma.github.io/Logging_0583/klagomål/A 16870-2021.docx", "A 16870-2021")</f>
        <v/>
      </c>
      <c r="W258">
        <f>HYPERLINK("https://klasma.github.io/Logging_0583/klagomålsmail/A 16870-2021.docx", "A 16870-2021")</f>
        <v/>
      </c>
      <c r="X258">
        <f>HYPERLINK("https://klasma.github.io/Logging_0583/tillsyn/A 16870-2021.docx", "A 16870-2021")</f>
        <v/>
      </c>
      <c r="Y258">
        <f>HYPERLINK("https://klasma.github.io/Logging_0583/tillsynsmail/A 16870-2021.docx", "A 16870-2021")</f>
        <v/>
      </c>
    </row>
    <row r="259" ht="15" customHeight="1">
      <c r="A259" t="inlineStr">
        <is>
          <t>A 16747-2021</t>
        </is>
      </c>
      <c r="B259" s="1" t="n">
        <v>44294</v>
      </c>
      <c r="C259" s="1" t="n">
        <v>45211</v>
      </c>
      <c r="D259" t="inlineStr">
        <is>
          <t>ÖSTERGÖTLANDS LÄN</t>
        </is>
      </c>
      <c r="E259" t="inlineStr">
        <is>
          <t>FINSPÅNG</t>
        </is>
      </c>
      <c r="G259" t="n">
        <v>3.3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1</v>
      </c>
      <c r="P259" t="n">
        <v>1</v>
      </c>
      <c r="Q259" t="n">
        <v>1</v>
      </c>
      <c r="R259" s="2" t="inlineStr">
        <is>
          <t>Skogsalm</t>
        </is>
      </c>
      <c r="S259">
        <f>HYPERLINK("https://klasma.github.io/Logging_0562/artfynd/A 16747-2021.xlsx", "A 16747-2021")</f>
        <v/>
      </c>
      <c r="T259">
        <f>HYPERLINK("https://klasma.github.io/Logging_0562/kartor/A 16747-2021.png", "A 16747-2021")</f>
        <v/>
      </c>
      <c r="V259">
        <f>HYPERLINK("https://klasma.github.io/Logging_0562/klagomål/A 16747-2021.docx", "A 16747-2021")</f>
        <v/>
      </c>
      <c r="W259">
        <f>HYPERLINK("https://klasma.github.io/Logging_0562/klagomålsmail/A 16747-2021.docx", "A 16747-2021")</f>
        <v/>
      </c>
      <c r="X259">
        <f>HYPERLINK("https://klasma.github.io/Logging_0562/tillsyn/A 16747-2021.docx", "A 16747-2021")</f>
        <v/>
      </c>
      <c r="Y259">
        <f>HYPERLINK("https://klasma.github.io/Logging_0562/tillsynsmail/A 16747-2021.docx", "A 16747-2021")</f>
        <v/>
      </c>
    </row>
    <row r="260" ht="15" customHeight="1">
      <c r="A260" t="inlineStr">
        <is>
          <t>A 19103-2021</t>
        </is>
      </c>
      <c r="B260" s="1" t="n">
        <v>44308</v>
      </c>
      <c r="C260" s="1" t="n">
        <v>45211</v>
      </c>
      <c r="D260" t="inlineStr">
        <is>
          <t>ÖSTERGÖTLANDS LÄN</t>
        </is>
      </c>
      <c r="E260" t="inlineStr">
        <is>
          <t>LINKÖPING</t>
        </is>
      </c>
      <c r="G260" t="n">
        <v>4.7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1</v>
      </c>
      <c r="R260" s="2" t="inlineStr">
        <is>
          <t>Tallticka</t>
        </is>
      </c>
      <c r="S260">
        <f>HYPERLINK("https://klasma.github.io/Logging_0580/artfynd/A 19103-2021.xlsx", "A 19103-2021")</f>
        <v/>
      </c>
      <c r="T260">
        <f>HYPERLINK("https://klasma.github.io/Logging_0580/kartor/A 19103-2021.png", "A 19103-2021")</f>
        <v/>
      </c>
      <c r="V260">
        <f>HYPERLINK("https://klasma.github.io/Logging_0580/klagomål/A 19103-2021.docx", "A 19103-2021")</f>
        <v/>
      </c>
      <c r="W260">
        <f>HYPERLINK("https://klasma.github.io/Logging_0580/klagomålsmail/A 19103-2021.docx", "A 19103-2021")</f>
        <v/>
      </c>
      <c r="X260">
        <f>HYPERLINK("https://klasma.github.io/Logging_0580/tillsyn/A 19103-2021.docx", "A 19103-2021")</f>
        <v/>
      </c>
      <c r="Y260">
        <f>HYPERLINK("https://klasma.github.io/Logging_0580/tillsynsmail/A 19103-2021.docx", "A 19103-2021")</f>
        <v/>
      </c>
    </row>
    <row r="261" ht="15" customHeight="1">
      <c r="A261" t="inlineStr">
        <is>
          <t>A 19825-2021</t>
        </is>
      </c>
      <c r="B261" s="1" t="n">
        <v>44313</v>
      </c>
      <c r="C261" s="1" t="n">
        <v>45211</v>
      </c>
      <c r="D261" t="inlineStr">
        <is>
          <t>ÖSTERGÖTLANDS LÄN</t>
        </is>
      </c>
      <c r="E261" t="inlineStr">
        <is>
          <t>NORRKÖPING</t>
        </is>
      </c>
      <c r="F261" t="inlineStr">
        <is>
          <t>Holmen skog AB</t>
        </is>
      </c>
      <c r="G261" t="n">
        <v>1.8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1</v>
      </c>
      <c r="R261" s="2" t="inlineStr">
        <is>
          <t>Gullklöver</t>
        </is>
      </c>
      <c r="S261">
        <f>HYPERLINK("https://klasma.github.io/Logging_0581/artfynd/A 19825-2021.xlsx", "A 19825-2021")</f>
        <v/>
      </c>
      <c r="T261">
        <f>HYPERLINK("https://klasma.github.io/Logging_0581/kartor/A 19825-2021.png", "A 19825-2021")</f>
        <v/>
      </c>
      <c r="V261">
        <f>HYPERLINK("https://klasma.github.io/Logging_0581/klagomål/A 19825-2021.docx", "A 19825-2021")</f>
        <v/>
      </c>
      <c r="W261">
        <f>HYPERLINK("https://klasma.github.io/Logging_0581/klagomålsmail/A 19825-2021.docx", "A 19825-2021")</f>
        <v/>
      </c>
      <c r="X261">
        <f>HYPERLINK("https://klasma.github.io/Logging_0581/tillsyn/A 19825-2021.docx", "A 19825-2021")</f>
        <v/>
      </c>
      <c r="Y261">
        <f>HYPERLINK("https://klasma.github.io/Logging_0581/tillsynsmail/A 19825-2021.docx", "A 19825-2021")</f>
        <v/>
      </c>
    </row>
    <row r="262" ht="15" customHeight="1">
      <c r="A262" t="inlineStr">
        <is>
          <t>A 25288-2021</t>
        </is>
      </c>
      <c r="B262" s="1" t="n">
        <v>44342</v>
      </c>
      <c r="C262" s="1" t="n">
        <v>45211</v>
      </c>
      <c r="D262" t="inlineStr">
        <is>
          <t>ÖSTERGÖTLANDS LÄN</t>
        </is>
      </c>
      <c r="E262" t="inlineStr">
        <is>
          <t>KINDA</t>
        </is>
      </c>
      <c r="G262" t="n">
        <v>3.3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s="2" t="inlineStr">
        <is>
          <t>Smalsprötad bastardsvärmare</t>
        </is>
      </c>
      <c r="S262">
        <f>HYPERLINK("https://klasma.github.io/Logging_0513/artfynd/A 25288-2021.xlsx", "A 25288-2021")</f>
        <v/>
      </c>
      <c r="T262">
        <f>HYPERLINK("https://klasma.github.io/Logging_0513/kartor/A 25288-2021.png", "A 25288-2021")</f>
        <v/>
      </c>
      <c r="V262">
        <f>HYPERLINK("https://klasma.github.io/Logging_0513/klagomål/A 25288-2021.docx", "A 25288-2021")</f>
        <v/>
      </c>
      <c r="W262">
        <f>HYPERLINK("https://klasma.github.io/Logging_0513/klagomålsmail/A 25288-2021.docx", "A 25288-2021")</f>
        <v/>
      </c>
      <c r="X262">
        <f>HYPERLINK("https://klasma.github.io/Logging_0513/tillsyn/A 25288-2021.docx", "A 25288-2021")</f>
        <v/>
      </c>
      <c r="Y262">
        <f>HYPERLINK("https://klasma.github.io/Logging_0513/tillsynsmail/A 25288-2021.docx", "A 25288-2021")</f>
        <v/>
      </c>
    </row>
    <row r="263" ht="15" customHeight="1">
      <c r="A263" t="inlineStr">
        <is>
          <t>A 25392-2021</t>
        </is>
      </c>
      <c r="B263" s="1" t="n">
        <v>44342</v>
      </c>
      <c r="C263" s="1" t="n">
        <v>45211</v>
      </c>
      <c r="D263" t="inlineStr">
        <is>
          <t>ÖSTERGÖTLANDS LÄN</t>
        </is>
      </c>
      <c r="E263" t="inlineStr">
        <is>
          <t>NORRKÖPING</t>
        </is>
      </c>
      <c r="F263" t="inlineStr">
        <is>
          <t>Holmen skog AB</t>
        </is>
      </c>
      <c r="G263" t="n">
        <v>4.9</v>
      </c>
      <c r="H263" t="n">
        <v>1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1</v>
      </c>
      <c r="R263" s="2" t="inlineStr">
        <is>
          <t>Talltita</t>
        </is>
      </c>
      <c r="S263">
        <f>HYPERLINK("https://klasma.github.io/Logging_0581/artfynd/A 25392-2021.xlsx", "A 25392-2021")</f>
        <v/>
      </c>
      <c r="T263">
        <f>HYPERLINK("https://klasma.github.io/Logging_0581/kartor/A 25392-2021.png", "A 25392-2021")</f>
        <v/>
      </c>
      <c r="V263">
        <f>HYPERLINK("https://klasma.github.io/Logging_0581/klagomål/A 25392-2021.docx", "A 25392-2021")</f>
        <v/>
      </c>
      <c r="W263">
        <f>HYPERLINK("https://klasma.github.io/Logging_0581/klagomålsmail/A 25392-2021.docx", "A 25392-2021")</f>
        <v/>
      </c>
      <c r="X263">
        <f>HYPERLINK("https://klasma.github.io/Logging_0581/tillsyn/A 25392-2021.docx", "A 25392-2021")</f>
        <v/>
      </c>
      <c r="Y263">
        <f>HYPERLINK("https://klasma.github.io/Logging_0581/tillsynsmail/A 25392-2021.docx", "A 25392-2021")</f>
        <v/>
      </c>
    </row>
    <row r="264" ht="15" customHeight="1">
      <c r="A264" t="inlineStr">
        <is>
          <t>A 25614-2021</t>
        </is>
      </c>
      <c r="B264" s="1" t="n">
        <v>44343</v>
      </c>
      <c r="C264" s="1" t="n">
        <v>45211</v>
      </c>
      <c r="D264" t="inlineStr">
        <is>
          <t>ÖSTERGÖTLANDS LÄN</t>
        </is>
      </c>
      <c r="E264" t="inlineStr">
        <is>
          <t>NORRKÖPING</t>
        </is>
      </c>
      <c r="F264" t="inlineStr">
        <is>
          <t>Holmen skog AB</t>
        </is>
      </c>
      <c r="G264" t="n">
        <v>13.4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s="2" t="inlineStr">
        <is>
          <t>Fällmossa</t>
        </is>
      </c>
      <c r="S264">
        <f>HYPERLINK("https://klasma.github.io/Logging_0581/artfynd/A 25614-2021.xlsx", "A 25614-2021")</f>
        <v/>
      </c>
      <c r="T264">
        <f>HYPERLINK("https://klasma.github.io/Logging_0581/kartor/A 25614-2021.png", "A 25614-2021")</f>
        <v/>
      </c>
      <c r="V264">
        <f>HYPERLINK("https://klasma.github.io/Logging_0581/klagomål/A 25614-2021.docx", "A 25614-2021")</f>
        <v/>
      </c>
      <c r="W264">
        <f>HYPERLINK("https://klasma.github.io/Logging_0581/klagomålsmail/A 25614-2021.docx", "A 25614-2021")</f>
        <v/>
      </c>
      <c r="X264">
        <f>HYPERLINK("https://klasma.github.io/Logging_0581/tillsyn/A 25614-2021.docx", "A 25614-2021")</f>
        <v/>
      </c>
      <c r="Y264">
        <f>HYPERLINK("https://klasma.github.io/Logging_0581/tillsynsmail/A 25614-2021.docx", "A 25614-2021")</f>
        <v/>
      </c>
    </row>
    <row r="265" ht="15" customHeight="1">
      <c r="A265" t="inlineStr">
        <is>
          <t>A 25868-2021</t>
        </is>
      </c>
      <c r="B265" s="1" t="n">
        <v>44344</v>
      </c>
      <c r="C265" s="1" t="n">
        <v>45211</v>
      </c>
      <c r="D265" t="inlineStr">
        <is>
          <t>ÖSTERGÖTLANDS LÄN</t>
        </is>
      </c>
      <c r="E265" t="inlineStr">
        <is>
          <t>ÖDESHÖG</t>
        </is>
      </c>
      <c r="G265" t="n">
        <v>2.8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1</v>
      </c>
      <c r="P265" t="n">
        <v>1</v>
      </c>
      <c r="Q265" t="n">
        <v>1</v>
      </c>
      <c r="R265" s="2" t="inlineStr">
        <is>
          <t>Ask</t>
        </is>
      </c>
      <c r="S265">
        <f>HYPERLINK("https://klasma.github.io/Logging_0509/artfynd/A 25868-2021.xlsx", "A 25868-2021")</f>
        <v/>
      </c>
      <c r="T265">
        <f>HYPERLINK("https://klasma.github.io/Logging_0509/kartor/A 25868-2021.png", "A 25868-2021")</f>
        <v/>
      </c>
      <c r="V265">
        <f>HYPERLINK("https://klasma.github.io/Logging_0509/klagomål/A 25868-2021.docx", "A 25868-2021")</f>
        <v/>
      </c>
      <c r="W265">
        <f>HYPERLINK("https://klasma.github.io/Logging_0509/klagomålsmail/A 25868-2021.docx", "A 25868-2021")</f>
        <v/>
      </c>
      <c r="X265">
        <f>HYPERLINK("https://klasma.github.io/Logging_0509/tillsyn/A 25868-2021.docx", "A 25868-2021")</f>
        <v/>
      </c>
      <c r="Y265">
        <f>HYPERLINK("https://klasma.github.io/Logging_0509/tillsynsmail/A 25868-2021.docx", "A 25868-2021")</f>
        <v/>
      </c>
    </row>
    <row r="266" ht="15" customHeight="1">
      <c r="A266" t="inlineStr">
        <is>
          <t>A 27863-2021</t>
        </is>
      </c>
      <c r="B266" s="1" t="n">
        <v>44354</v>
      </c>
      <c r="C266" s="1" t="n">
        <v>45211</v>
      </c>
      <c r="D266" t="inlineStr">
        <is>
          <t>ÖSTERGÖTLANDS LÄN</t>
        </is>
      </c>
      <c r="E266" t="inlineStr">
        <is>
          <t>NORRKÖPING</t>
        </is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1</v>
      </c>
      <c r="P266" t="n">
        <v>1</v>
      </c>
      <c r="Q266" t="n">
        <v>1</v>
      </c>
      <c r="R266" s="2" t="inlineStr">
        <is>
          <t>Ask</t>
        </is>
      </c>
      <c r="S266">
        <f>HYPERLINK("https://klasma.github.io/Logging_0581/artfynd/A 27863-2021.xlsx", "A 27863-2021")</f>
        <v/>
      </c>
      <c r="T266">
        <f>HYPERLINK("https://klasma.github.io/Logging_0581/kartor/A 27863-2021.png", "A 27863-2021")</f>
        <v/>
      </c>
      <c r="V266">
        <f>HYPERLINK("https://klasma.github.io/Logging_0581/klagomål/A 27863-2021.docx", "A 27863-2021")</f>
        <v/>
      </c>
      <c r="W266">
        <f>HYPERLINK("https://klasma.github.io/Logging_0581/klagomålsmail/A 27863-2021.docx", "A 27863-2021")</f>
        <v/>
      </c>
      <c r="X266">
        <f>HYPERLINK("https://klasma.github.io/Logging_0581/tillsyn/A 27863-2021.docx", "A 27863-2021")</f>
        <v/>
      </c>
      <c r="Y266">
        <f>HYPERLINK("https://klasma.github.io/Logging_0581/tillsynsmail/A 27863-2021.docx", "A 27863-2021")</f>
        <v/>
      </c>
    </row>
    <row r="267" ht="15" customHeight="1">
      <c r="A267" t="inlineStr">
        <is>
          <t>A 28953-2021</t>
        </is>
      </c>
      <c r="B267" s="1" t="n">
        <v>44358</v>
      </c>
      <c r="C267" s="1" t="n">
        <v>45211</v>
      </c>
      <c r="D267" t="inlineStr">
        <is>
          <t>ÖSTERGÖTLANDS LÄN</t>
        </is>
      </c>
      <c r="E267" t="inlineStr">
        <is>
          <t>YDRE</t>
        </is>
      </c>
      <c r="G267" t="n">
        <v>2.2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s="2" t="inlineStr">
        <is>
          <t>Hårklomossa</t>
        </is>
      </c>
      <c r="S267">
        <f>HYPERLINK("https://klasma.github.io/Logging_0512/artfynd/A 28953-2021.xlsx", "A 28953-2021")</f>
        <v/>
      </c>
      <c r="T267">
        <f>HYPERLINK("https://klasma.github.io/Logging_0512/kartor/A 28953-2021.png", "A 28953-2021")</f>
        <v/>
      </c>
      <c r="V267">
        <f>HYPERLINK("https://klasma.github.io/Logging_0512/klagomål/A 28953-2021.docx", "A 28953-2021")</f>
        <v/>
      </c>
      <c r="W267">
        <f>HYPERLINK("https://klasma.github.io/Logging_0512/klagomålsmail/A 28953-2021.docx", "A 28953-2021")</f>
        <v/>
      </c>
      <c r="X267">
        <f>HYPERLINK("https://klasma.github.io/Logging_0512/tillsyn/A 28953-2021.docx", "A 28953-2021")</f>
        <v/>
      </c>
      <c r="Y267">
        <f>HYPERLINK("https://klasma.github.io/Logging_0512/tillsynsmail/A 28953-2021.docx", "A 28953-2021")</f>
        <v/>
      </c>
    </row>
    <row r="268" ht="15" customHeight="1">
      <c r="A268" t="inlineStr">
        <is>
          <t>A 34171-2021</t>
        </is>
      </c>
      <c r="B268" s="1" t="n">
        <v>44379</v>
      </c>
      <c r="C268" s="1" t="n">
        <v>45211</v>
      </c>
      <c r="D268" t="inlineStr">
        <is>
          <t>ÖSTERGÖTLANDS LÄN</t>
        </is>
      </c>
      <c r="E268" t="inlineStr">
        <is>
          <t>SÖDERKÖPING</t>
        </is>
      </c>
      <c r="G268" t="n">
        <v>3.8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s="2" t="inlineStr">
        <is>
          <t>Tjockfotad fingersvamp</t>
        </is>
      </c>
      <c r="S268">
        <f>HYPERLINK("https://klasma.github.io/Logging_0582/artfynd/A 34171-2021.xlsx", "A 34171-2021")</f>
        <v/>
      </c>
      <c r="T268">
        <f>HYPERLINK("https://klasma.github.io/Logging_0582/kartor/A 34171-2021.png", "A 34171-2021")</f>
        <v/>
      </c>
      <c r="V268">
        <f>HYPERLINK("https://klasma.github.io/Logging_0582/klagomål/A 34171-2021.docx", "A 34171-2021")</f>
        <v/>
      </c>
      <c r="W268">
        <f>HYPERLINK("https://klasma.github.io/Logging_0582/klagomålsmail/A 34171-2021.docx", "A 34171-2021")</f>
        <v/>
      </c>
      <c r="X268">
        <f>HYPERLINK("https://klasma.github.io/Logging_0582/tillsyn/A 34171-2021.docx", "A 34171-2021")</f>
        <v/>
      </c>
      <c r="Y268">
        <f>HYPERLINK("https://klasma.github.io/Logging_0582/tillsynsmail/A 34171-2021.docx", "A 34171-2021")</f>
        <v/>
      </c>
    </row>
    <row r="269" ht="15" customHeight="1">
      <c r="A269" t="inlineStr">
        <is>
          <t>A 38056-2021</t>
        </is>
      </c>
      <c r="B269" s="1" t="n">
        <v>44404</v>
      </c>
      <c r="C269" s="1" t="n">
        <v>45211</v>
      </c>
      <c r="D269" t="inlineStr">
        <is>
          <t>ÖSTERGÖTLANDS LÄN</t>
        </is>
      </c>
      <c r="E269" t="inlineStr">
        <is>
          <t>FINSPÅNG</t>
        </is>
      </c>
      <c r="F269" t="inlineStr">
        <is>
          <t>Holmen skog AB</t>
        </is>
      </c>
      <c r="G269" t="n">
        <v>2.3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s="2" t="inlineStr">
        <is>
          <t>Flagellkvastmossa</t>
        </is>
      </c>
      <c r="S269">
        <f>HYPERLINK("https://klasma.github.io/Logging_0562/artfynd/A 38056-2021.xlsx", "A 38056-2021")</f>
        <v/>
      </c>
      <c r="T269">
        <f>HYPERLINK("https://klasma.github.io/Logging_0562/kartor/A 38056-2021.png", "A 38056-2021")</f>
        <v/>
      </c>
      <c r="V269">
        <f>HYPERLINK("https://klasma.github.io/Logging_0562/klagomål/A 38056-2021.docx", "A 38056-2021")</f>
        <v/>
      </c>
      <c r="W269">
        <f>HYPERLINK("https://klasma.github.io/Logging_0562/klagomålsmail/A 38056-2021.docx", "A 38056-2021")</f>
        <v/>
      </c>
      <c r="X269">
        <f>HYPERLINK("https://klasma.github.io/Logging_0562/tillsyn/A 38056-2021.docx", "A 38056-2021")</f>
        <v/>
      </c>
      <c r="Y269">
        <f>HYPERLINK("https://klasma.github.io/Logging_0562/tillsynsmail/A 38056-2021.docx", "A 38056-2021")</f>
        <v/>
      </c>
    </row>
    <row r="270" ht="15" customHeight="1">
      <c r="A270" t="inlineStr">
        <is>
          <t>A 39488-2021</t>
        </is>
      </c>
      <c r="B270" s="1" t="n">
        <v>44414</v>
      </c>
      <c r="C270" s="1" t="n">
        <v>45211</v>
      </c>
      <c r="D270" t="inlineStr">
        <is>
          <t>ÖSTERGÖTLANDS LÄN</t>
        </is>
      </c>
      <c r="E270" t="inlineStr">
        <is>
          <t>ÅTVIDABERG</t>
        </is>
      </c>
      <c r="G270" t="n">
        <v>0.8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1</v>
      </c>
      <c r="R270" s="2" t="inlineStr">
        <is>
          <t>Ekticka</t>
        </is>
      </c>
      <c r="S270">
        <f>HYPERLINK("https://klasma.github.io/Logging_0561/artfynd/A 39488-2021.xlsx", "A 39488-2021")</f>
        <v/>
      </c>
      <c r="T270">
        <f>HYPERLINK("https://klasma.github.io/Logging_0561/kartor/A 39488-2021.png", "A 39488-2021")</f>
        <v/>
      </c>
      <c r="V270">
        <f>HYPERLINK("https://klasma.github.io/Logging_0561/klagomål/A 39488-2021.docx", "A 39488-2021")</f>
        <v/>
      </c>
      <c r="W270">
        <f>HYPERLINK("https://klasma.github.io/Logging_0561/klagomålsmail/A 39488-2021.docx", "A 39488-2021")</f>
        <v/>
      </c>
      <c r="X270">
        <f>HYPERLINK("https://klasma.github.io/Logging_0561/tillsyn/A 39488-2021.docx", "A 39488-2021")</f>
        <v/>
      </c>
      <c r="Y270">
        <f>HYPERLINK("https://klasma.github.io/Logging_0561/tillsynsmail/A 39488-2021.docx", "A 39488-2021")</f>
        <v/>
      </c>
    </row>
    <row r="271" ht="15" customHeight="1">
      <c r="A271" t="inlineStr">
        <is>
          <t>A 40100-2021</t>
        </is>
      </c>
      <c r="B271" s="1" t="n">
        <v>44418</v>
      </c>
      <c r="C271" s="1" t="n">
        <v>45211</v>
      </c>
      <c r="D271" t="inlineStr">
        <is>
          <t>ÖSTERGÖTLANDS LÄN</t>
        </is>
      </c>
      <c r="E271" t="inlineStr">
        <is>
          <t>KINDA</t>
        </is>
      </c>
      <c r="G271" t="n">
        <v>0.6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s="2" t="inlineStr">
        <is>
          <t>Grönpyrola</t>
        </is>
      </c>
      <c r="S271">
        <f>HYPERLINK("https://klasma.github.io/Logging_0513/artfynd/A 40100-2021.xlsx", "A 40100-2021")</f>
        <v/>
      </c>
      <c r="T271">
        <f>HYPERLINK("https://klasma.github.io/Logging_0513/kartor/A 40100-2021.png", "A 40100-2021")</f>
        <v/>
      </c>
      <c r="V271">
        <f>HYPERLINK("https://klasma.github.io/Logging_0513/klagomål/A 40100-2021.docx", "A 40100-2021")</f>
        <v/>
      </c>
      <c r="W271">
        <f>HYPERLINK("https://klasma.github.io/Logging_0513/klagomålsmail/A 40100-2021.docx", "A 40100-2021")</f>
        <v/>
      </c>
      <c r="X271">
        <f>HYPERLINK("https://klasma.github.io/Logging_0513/tillsyn/A 40100-2021.docx", "A 40100-2021")</f>
        <v/>
      </c>
      <c r="Y271">
        <f>HYPERLINK("https://klasma.github.io/Logging_0513/tillsynsmail/A 40100-2021.docx", "A 40100-2021")</f>
        <v/>
      </c>
    </row>
    <row r="272" ht="15" customHeight="1">
      <c r="A272" t="inlineStr">
        <is>
          <t>A 40463-2021</t>
        </is>
      </c>
      <c r="B272" s="1" t="n">
        <v>44419</v>
      </c>
      <c r="C272" s="1" t="n">
        <v>45211</v>
      </c>
      <c r="D272" t="inlineStr">
        <is>
          <t>ÖSTERGÖTLANDS LÄN</t>
        </is>
      </c>
      <c r="E272" t="inlineStr">
        <is>
          <t>KINDA</t>
        </is>
      </c>
      <c r="G272" t="n">
        <v>11.5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s="2" t="inlineStr">
        <is>
          <t>Fjällig taggsvamp s.str.</t>
        </is>
      </c>
      <c r="S272">
        <f>HYPERLINK("https://klasma.github.io/Logging_0513/artfynd/A 40463-2021.xlsx", "A 40463-2021")</f>
        <v/>
      </c>
      <c r="T272">
        <f>HYPERLINK("https://klasma.github.io/Logging_0513/kartor/A 40463-2021.png", "A 40463-2021")</f>
        <v/>
      </c>
      <c r="V272">
        <f>HYPERLINK("https://klasma.github.io/Logging_0513/klagomål/A 40463-2021.docx", "A 40463-2021")</f>
        <v/>
      </c>
      <c r="W272">
        <f>HYPERLINK("https://klasma.github.io/Logging_0513/klagomålsmail/A 40463-2021.docx", "A 40463-2021")</f>
        <v/>
      </c>
      <c r="X272">
        <f>HYPERLINK("https://klasma.github.io/Logging_0513/tillsyn/A 40463-2021.docx", "A 40463-2021")</f>
        <v/>
      </c>
      <c r="Y272">
        <f>HYPERLINK("https://klasma.github.io/Logging_0513/tillsynsmail/A 40463-2021.docx", "A 40463-2021")</f>
        <v/>
      </c>
    </row>
    <row r="273" ht="15" customHeight="1">
      <c r="A273" t="inlineStr">
        <is>
          <t>A 42188-2021</t>
        </is>
      </c>
      <c r="B273" s="1" t="n">
        <v>44426</v>
      </c>
      <c r="C273" s="1" t="n">
        <v>45211</v>
      </c>
      <c r="D273" t="inlineStr">
        <is>
          <t>ÖSTERGÖTLANDS LÄN</t>
        </is>
      </c>
      <c r="E273" t="inlineStr">
        <is>
          <t>NORRKÖPING</t>
        </is>
      </c>
      <c r="G273" t="n">
        <v>2.2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s="2" t="inlineStr">
        <is>
          <t>Ängsnycklar</t>
        </is>
      </c>
      <c r="S273">
        <f>HYPERLINK("https://klasma.github.io/Logging_0581/artfynd/A 42188-2021.xlsx", "A 42188-2021")</f>
        <v/>
      </c>
      <c r="T273">
        <f>HYPERLINK("https://klasma.github.io/Logging_0581/kartor/A 42188-2021.png", "A 42188-2021")</f>
        <v/>
      </c>
      <c r="V273">
        <f>HYPERLINK("https://klasma.github.io/Logging_0581/klagomål/A 42188-2021.docx", "A 42188-2021")</f>
        <v/>
      </c>
      <c r="W273">
        <f>HYPERLINK("https://klasma.github.io/Logging_0581/klagomålsmail/A 42188-2021.docx", "A 42188-2021")</f>
        <v/>
      </c>
      <c r="X273">
        <f>HYPERLINK("https://klasma.github.io/Logging_0581/tillsyn/A 42188-2021.docx", "A 42188-2021")</f>
        <v/>
      </c>
      <c r="Y273">
        <f>HYPERLINK("https://klasma.github.io/Logging_0581/tillsynsmail/A 42188-2021.docx", "A 42188-2021")</f>
        <v/>
      </c>
    </row>
    <row r="274" ht="15" customHeight="1">
      <c r="A274" t="inlineStr">
        <is>
          <t>A 42909-2021</t>
        </is>
      </c>
      <c r="B274" s="1" t="n">
        <v>44431</v>
      </c>
      <c r="C274" s="1" t="n">
        <v>45211</v>
      </c>
      <c r="D274" t="inlineStr">
        <is>
          <t>ÖSTERGÖTLANDS LÄN</t>
        </is>
      </c>
      <c r="E274" t="inlineStr">
        <is>
          <t>SÖDERKÖPING</t>
        </is>
      </c>
      <c r="G274" t="n">
        <v>0.8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1</v>
      </c>
      <c r="P274" t="n">
        <v>1</v>
      </c>
      <c r="Q274" t="n">
        <v>1</v>
      </c>
      <c r="R274" s="2" t="inlineStr">
        <is>
          <t>Skogsalm</t>
        </is>
      </c>
      <c r="S274">
        <f>HYPERLINK("https://klasma.github.io/Logging_0582/artfynd/A 42909-2021.xlsx", "A 42909-2021")</f>
        <v/>
      </c>
      <c r="T274">
        <f>HYPERLINK("https://klasma.github.io/Logging_0582/kartor/A 42909-2021.png", "A 42909-2021")</f>
        <v/>
      </c>
      <c r="V274">
        <f>HYPERLINK("https://klasma.github.io/Logging_0582/klagomål/A 42909-2021.docx", "A 42909-2021")</f>
        <v/>
      </c>
      <c r="W274">
        <f>HYPERLINK("https://klasma.github.io/Logging_0582/klagomålsmail/A 42909-2021.docx", "A 42909-2021")</f>
        <v/>
      </c>
      <c r="X274">
        <f>HYPERLINK("https://klasma.github.io/Logging_0582/tillsyn/A 42909-2021.docx", "A 42909-2021")</f>
        <v/>
      </c>
      <c r="Y274">
        <f>HYPERLINK("https://klasma.github.io/Logging_0582/tillsynsmail/A 42909-2021.docx", "A 42909-2021")</f>
        <v/>
      </c>
    </row>
    <row r="275" ht="15" customHeight="1">
      <c r="A275" t="inlineStr">
        <is>
          <t>A 44552-2021</t>
        </is>
      </c>
      <c r="B275" s="1" t="n">
        <v>44435</v>
      </c>
      <c r="C275" s="1" t="n">
        <v>45211</v>
      </c>
      <c r="D275" t="inlineStr">
        <is>
          <t>ÖSTERGÖTLANDS LÄN</t>
        </is>
      </c>
      <c r="E275" t="inlineStr">
        <is>
          <t>KINDA</t>
        </is>
      </c>
      <c r="G275" t="n">
        <v>3.7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1</v>
      </c>
      <c r="R275" s="2" t="inlineStr">
        <is>
          <t>Storgröe</t>
        </is>
      </c>
      <c r="S275">
        <f>HYPERLINK("https://klasma.github.io/Logging_0513/artfynd/A 44552-2021.xlsx", "A 44552-2021")</f>
        <v/>
      </c>
      <c r="T275">
        <f>HYPERLINK("https://klasma.github.io/Logging_0513/kartor/A 44552-2021.png", "A 44552-2021")</f>
        <v/>
      </c>
      <c r="V275">
        <f>HYPERLINK("https://klasma.github.io/Logging_0513/klagomål/A 44552-2021.docx", "A 44552-2021")</f>
        <v/>
      </c>
      <c r="W275">
        <f>HYPERLINK("https://klasma.github.io/Logging_0513/klagomålsmail/A 44552-2021.docx", "A 44552-2021")</f>
        <v/>
      </c>
      <c r="X275">
        <f>HYPERLINK("https://klasma.github.io/Logging_0513/tillsyn/A 44552-2021.docx", "A 44552-2021")</f>
        <v/>
      </c>
      <c r="Y275">
        <f>HYPERLINK("https://klasma.github.io/Logging_0513/tillsynsmail/A 44552-2021.docx", "A 44552-2021")</f>
        <v/>
      </c>
    </row>
    <row r="276" ht="15" customHeight="1">
      <c r="A276" t="inlineStr">
        <is>
          <t>A 48612-2021</t>
        </is>
      </c>
      <c r="B276" s="1" t="n">
        <v>44452</v>
      </c>
      <c r="C276" s="1" t="n">
        <v>45211</v>
      </c>
      <c r="D276" t="inlineStr">
        <is>
          <t>ÖSTERGÖTLANDS LÄN</t>
        </is>
      </c>
      <c r="E276" t="inlineStr">
        <is>
          <t>NORRKÖPING</t>
        </is>
      </c>
      <c r="F276" t="inlineStr">
        <is>
          <t>Holmen skog AB</t>
        </is>
      </c>
      <c r="G276" t="n">
        <v>0.7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1</v>
      </c>
      <c r="R276" s="2" t="inlineStr">
        <is>
          <t>Skogsklocka</t>
        </is>
      </c>
      <c r="S276">
        <f>HYPERLINK("https://klasma.github.io/Logging_0581/artfynd/A 48612-2021.xlsx", "A 48612-2021")</f>
        <v/>
      </c>
      <c r="T276">
        <f>HYPERLINK("https://klasma.github.io/Logging_0581/kartor/A 48612-2021.png", "A 48612-2021")</f>
        <v/>
      </c>
      <c r="V276">
        <f>HYPERLINK("https://klasma.github.io/Logging_0581/klagomål/A 48612-2021.docx", "A 48612-2021")</f>
        <v/>
      </c>
      <c r="W276">
        <f>HYPERLINK("https://klasma.github.io/Logging_0581/klagomålsmail/A 48612-2021.docx", "A 48612-2021")</f>
        <v/>
      </c>
      <c r="X276">
        <f>HYPERLINK("https://klasma.github.io/Logging_0581/tillsyn/A 48612-2021.docx", "A 48612-2021")</f>
        <v/>
      </c>
      <c r="Y276">
        <f>HYPERLINK("https://klasma.github.io/Logging_0581/tillsynsmail/A 48612-2021.docx", "A 48612-2021")</f>
        <v/>
      </c>
    </row>
    <row r="277" ht="15" customHeight="1">
      <c r="A277" t="inlineStr">
        <is>
          <t>A 49305-2021</t>
        </is>
      </c>
      <c r="B277" s="1" t="n">
        <v>44454</v>
      </c>
      <c r="C277" s="1" t="n">
        <v>45211</v>
      </c>
      <c r="D277" t="inlineStr">
        <is>
          <t>ÖSTERGÖTLANDS LÄN</t>
        </is>
      </c>
      <c r="E277" t="inlineStr">
        <is>
          <t>MOTALA</t>
        </is>
      </c>
      <c r="G277" t="n">
        <v>5.1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s="2" t="inlineStr">
        <is>
          <t>Blomkålssvamp</t>
        </is>
      </c>
      <c r="S277">
        <f>HYPERLINK("https://klasma.github.io/Logging_0583/artfynd/A 49305-2021.xlsx", "A 49305-2021")</f>
        <v/>
      </c>
      <c r="T277">
        <f>HYPERLINK("https://klasma.github.io/Logging_0583/kartor/A 49305-2021.png", "A 49305-2021")</f>
        <v/>
      </c>
      <c r="V277">
        <f>HYPERLINK("https://klasma.github.io/Logging_0583/klagomål/A 49305-2021.docx", "A 49305-2021")</f>
        <v/>
      </c>
      <c r="W277">
        <f>HYPERLINK("https://klasma.github.io/Logging_0583/klagomålsmail/A 49305-2021.docx", "A 49305-2021")</f>
        <v/>
      </c>
      <c r="X277">
        <f>HYPERLINK("https://klasma.github.io/Logging_0583/tillsyn/A 49305-2021.docx", "A 49305-2021")</f>
        <v/>
      </c>
      <c r="Y277">
        <f>HYPERLINK("https://klasma.github.io/Logging_0583/tillsynsmail/A 49305-2021.docx", "A 49305-2021")</f>
        <v/>
      </c>
    </row>
    <row r="278" ht="15" customHeight="1">
      <c r="A278" t="inlineStr">
        <is>
          <t>A 53277-2021</t>
        </is>
      </c>
      <c r="B278" s="1" t="n">
        <v>44468</v>
      </c>
      <c r="C278" s="1" t="n">
        <v>45211</v>
      </c>
      <c r="D278" t="inlineStr">
        <is>
          <t>ÖSTERGÖTLANDS LÄN</t>
        </is>
      </c>
      <c r="E278" t="inlineStr">
        <is>
          <t>YDRE</t>
        </is>
      </c>
      <c r="F278" t="inlineStr">
        <is>
          <t>Sveaskog</t>
        </is>
      </c>
      <c r="G278" t="n">
        <v>2.4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1</v>
      </c>
      <c r="P278" t="n">
        <v>1</v>
      </c>
      <c r="Q278" t="n">
        <v>1</v>
      </c>
      <c r="R278" s="2" t="inlineStr">
        <is>
          <t>Ask</t>
        </is>
      </c>
      <c r="S278">
        <f>HYPERLINK("https://klasma.github.io/Logging_0512/artfynd/A 53277-2021.xlsx", "A 53277-2021")</f>
        <v/>
      </c>
      <c r="T278">
        <f>HYPERLINK("https://klasma.github.io/Logging_0512/kartor/A 53277-2021.png", "A 53277-2021")</f>
        <v/>
      </c>
      <c r="V278">
        <f>HYPERLINK("https://klasma.github.io/Logging_0512/klagomål/A 53277-2021.docx", "A 53277-2021")</f>
        <v/>
      </c>
      <c r="W278">
        <f>HYPERLINK("https://klasma.github.io/Logging_0512/klagomålsmail/A 53277-2021.docx", "A 53277-2021")</f>
        <v/>
      </c>
      <c r="X278">
        <f>HYPERLINK("https://klasma.github.io/Logging_0512/tillsyn/A 53277-2021.docx", "A 53277-2021")</f>
        <v/>
      </c>
      <c r="Y278">
        <f>HYPERLINK("https://klasma.github.io/Logging_0512/tillsynsmail/A 53277-2021.docx", "A 53277-2021")</f>
        <v/>
      </c>
    </row>
    <row r="279" ht="15" customHeight="1">
      <c r="A279" t="inlineStr">
        <is>
          <t>A 53316-2021</t>
        </is>
      </c>
      <c r="B279" s="1" t="n">
        <v>44468</v>
      </c>
      <c r="C279" s="1" t="n">
        <v>45211</v>
      </c>
      <c r="D279" t="inlineStr">
        <is>
          <t>ÖSTERGÖTLANDS LÄN</t>
        </is>
      </c>
      <c r="E279" t="inlineStr">
        <is>
          <t>YDRE</t>
        </is>
      </c>
      <c r="F279" t="inlineStr">
        <is>
          <t>Sveaskog</t>
        </is>
      </c>
      <c r="G279" t="n">
        <v>5.6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s="2" t="inlineStr">
        <is>
          <t>Gullviva</t>
        </is>
      </c>
      <c r="S279">
        <f>HYPERLINK("https://klasma.github.io/Logging_0512/artfynd/A 53316-2021.xlsx", "A 53316-2021")</f>
        <v/>
      </c>
      <c r="T279">
        <f>HYPERLINK("https://klasma.github.io/Logging_0512/kartor/A 53316-2021.png", "A 53316-2021")</f>
        <v/>
      </c>
      <c r="V279">
        <f>HYPERLINK("https://klasma.github.io/Logging_0512/klagomål/A 53316-2021.docx", "A 53316-2021")</f>
        <v/>
      </c>
      <c r="W279">
        <f>HYPERLINK("https://klasma.github.io/Logging_0512/klagomålsmail/A 53316-2021.docx", "A 53316-2021")</f>
        <v/>
      </c>
      <c r="X279">
        <f>HYPERLINK("https://klasma.github.io/Logging_0512/tillsyn/A 53316-2021.docx", "A 53316-2021")</f>
        <v/>
      </c>
      <c r="Y279">
        <f>HYPERLINK("https://klasma.github.io/Logging_0512/tillsynsmail/A 53316-2021.docx", "A 53316-2021")</f>
        <v/>
      </c>
    </row>
    <row r="280" ht="15" customHeight="1">
      <c r="A280" t="inlineStr">
        <is>
          <t>A 56238-2021</t>
        </is>
      </c>
      <c r="B280" s="1" t="n">
        <v>44478</v>
      </c>
      <c r="C280" s="1" t="n">
        <v>45211</v>
      </c>
      <c r="D280" t="inlineStr">
        <is>
          <t>ÖSTERGÖTLANDS LÄN</t>
        </is>
      </c>
      <c r="E280" t="inlineStr">
        <is>
          <t>ÅTVIDABERG</t>
        </is>
      </c>
      <c r="F280" t="inlineStr">
        <is>
          <t>Övriga Aktiebolag</t>
        </is>
      </c>
      <c r="G280" t="n">
        <v>0.7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s="2" t="inlineStr">
        <is>
          <t>Mindre märgborre</t>
        </is>
      </c>
      <c r="S280">
        <f>HYPERLINK("https://klasma.github.io/Logging_0561/artfynd/A 56238-2021.xlsx", "A 56238-2021")</f>
        <v/>
      </c>
      <c r="T280">
        <f>HYPERLINK("https://klasma.github.io/Logging_0561/kartor/A 56238-2021.png", "A 56238-2021")</f>
        <v/>
      </c>
      <c r="V280">
        <f>HYPERLINK("https://klasma.github.io/Logging_0561/klagomål/A 56238-2021.docx", "A 56238-2021")</f>
        <v/>
      </c>
      <c r="W280">
        <f>HYPERLINK("https://klasma.github.io/Logging_0561/klagomålsmail/A 56238-2021.docx", "A 56238-2021")</f>
        <v/>
      </c>
      <c r="X280">
        <f>HYPERLINK("https://klasma.github.io/Logging_0561/tillsyn/A 56238-2021.docx", "A 56238-2021")</f>
        <v/>
      </c>
      <c r="Y280">
        <f>HYPERLINK("https://klasma.github.io/Logging_0561/tillsynsmail/A 56238-2021.docx", "A 56238-2021")</f>
        <v/>
      </c>
    </row>
    <row r="281" ht="15" customHeight="1">
      <c r="A281" t="inlineStr">
        <is>
          <t>A 56250-2021</t>
        </is>
      </c>
      <c r="B281" s="1" t="n">
        <v>44479</v>
      </c>
      <c r="C281" s="1" t="n">
        <v>45211</v>
      </c>
      <c r="D281" t="inlineStr">
        <is>
          <t>ÖSTERGÖTLANDS LÄN</t>
        </is>
      </c>
      <c r="E281" t="inlineStr">
        <is>
          <t>LINKÖPING</t>
        </is>
      </c>
      <c r="F281" t="inlineStr">
        <is>
          <t>Övriga Aktiebolag</t>
        </is>
      </c>
      <c r="G281" t="n">
        <v>3.2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s="2" t="inlineStr">
        <is>
          <t>Strutbräken</t>
        </is>
      </c>
      <c r="S281">
        <f>HYPERLINK("https://klasma.github.io/Logging_0580/artfynd/A 56250-2021.xlsx", "A 56250-2021")</f>
        <v/>
      </c>
      <c r="T281">
        <f>HYPERLINK("https://klasma.github.io/Logging_0580/kartor/A 56250-2021.png", "A 56250-2021")</f>
        <v/>
      </c>
      <c r="V281">
        <f>HYPERLINK("https://klasma.github.io/Logging_0580/klagomål/A 56250-2021.docx", "A 56250-2021")</f>
        <v/>
      </c>
      <c r="W281">
        <f>HYPERLINK("https://klasma.github.io/Logging_0580/klagomålsmail/A 56250-2021.docx", "A 56250-2021")</f>
        <v/>
      </c>
      <c r="X281">
        <f>HYPERLINK("https://klasma.github.io/Logging_0580/tillsyn/A 56250-2021.docx", "A 56250-2021")</f>
        <v/>
      </c>
      <c r="Y281">
        <f>HYPERLINK("https://klasma.github.io/Logging_0580/tillsynsmail/A 56250-2021.docx", "A 56250-2021")</f>
        <v/>
      </c>
    </row>
    <row r="282" ht="15" customHeight="1">
      <c r="A282" t="inlineStr">
        <is>
          <t>A 56584-2021</t>
        </is>
      </c>
      <c r="B282" s="1" t="n">
        <v>44480</v>
      </c>
      <c r="C282" s="1" t="n">
        <v>45211</v>
      </c>
      <c r="D282" t="inlineStr">
        <is>
          <t>ÖSTERGÖTLANDS LÄN</t>
        </is>
      </c>
      <c r="E282" t="inlineStr">
        <is>
          <t>NORRKÖPING</t>
        </is>
      </c>
      <c r="F282" t="inlineStr">
        <is>
          <t>Holmen skog AB</t>
        </is>
      </c>
      <c r="G282" t="n">
        <v>1.2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s="2" t="inlineStr">
        <is>
          <t>Vätteros</t>
        </is>
      </c>
      <c r="S282">
        <f>HYPERLINK("https://klasma.github.io/Logging_0581/artfynd/A 56584-2021.xlsx", "A 56584-2021")</f>
        <v/>
      </c>
      <c r="T282">
        <f>HYPERLINK("https://klasma.github.io/Logging_0581/kartor/A 56584-2021.png", "A 56584-2021")</f>
        <v/>
      </c>
      <c r="V282">
        <f>HYPERLINK("https://klasma.github.io/Logging_0581/klagomål/A 56584-2021.docx", "A 56584-2021")</f>
        <v/>
      </c>
      <c r="W282">
        <f>HYPERLINK("https://klasma.github.io/Logging_0581/klagomålsmail/A 56584-2021.docx", "A 56584-2021")</f>
        <v/>
      </c>
      <c r="X282">
        <f>HYPERLINK("https://klasma.github.io/Logging_0581/tillsyn/A 56584-2021.docx", "A 56584-2021")</f>
        <v/>
      </c>
      <c r="Y282">
        <f>HYPERLINK("https://klasma.github.io/Logging_0581/tillsynsmail/A 56584-2021.docx", "A 56584-2021")</f>
        <v/>
      </c>
    </row>
    <row r="283" ht="15" customHeight="1">
      <c r="A283" t="inlineStr">
        <is>
          <t>A 56668-2021</t>
        </is>
      </c>
      <c r="B283" s="1" t="n">
        <v>44481</v>
      </c>
      <c r="C283" s="1" t="n">
        <v>45211</v>
      </c>
      <c r="D283" t="inlineStr">
        <is>
          <t>ÖSTERGÖTLANDS LÄN</t>
        </is>
      </c>
      <c r="E283" t="inlineStr">
        <is>
          <t>SÖDERKÖPING</t>
        </is>
      </c>
      <c r="G283" t="n">
        <v>11.2</v>
      </c>
      <c r="H283" t="n">
        <v>1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1</v>
      </c>
      <c r="P283" t="n">
        <v>1</v>
      </c>
      <c r="Q283" t="n">
        <v>1</v>
      </c>
      <c r="R283" s="2" t="inlineStr">
        <is>
          <t>Knärot</t>
        </is>
      </c>
      <c r="S283">
        <f>HYPERLINK("https://klasma.github.io/Logging_0582/artfynd/A 56668-2021.xlsx", "A 56668-2021")</f>
        <v/>
      </c>
      <c r="T283">
        <f>HYPERLINK("https://klasma.github.io/Logging_0582/kartor/A 56668-2021.png", "A 56668-2021")</f>
        <v/>
      </c>
      <c r="U283">
        <f>HYPERLINK("https://klasma.github.io/Logging_0582/knärot/A 56668-2021.png", "A 56668-2021")</f>
        <v/>
      </c>
      <c r="V283">
        <f>HYPERLINK("https://klasma.github.io/Logging_0582/klagomål/A 56668-2021.docx", "A 56668-2021")</f>
        <v/>
      </c>
      <c r="W283">
        <f>HYPERLINK("https://klasma.github.io/Logging_0582/klagomålsmail/A 56668-2021.docx", "A 56668-2021")</f>
        <v/>
      </c>
      <c r="X283">
        <f>HYPERLINK("https://klasma.github.io/Logging_0582/tillsyn/A 56668-2021.docx", "A 56668-2021")</f>
        <v/>
      </c>
      <c r="Y283">
        <f>HYPERLINK("https://klasma.github.io/Logging_0582/tillsynsmail/A 56668-2021.docx", "A 56668-2021")</f>
        <v/>
      </c>
    </row>
    <row r="284" ht="15" customHeight="1">
      <c r="A284" t="inlineStr">
        <is>
          <t>A 57456-2021</t>
        </is>
      </c>
      <c r="B284" s="1" t="n">
        <v>44483</v>
      </c>
      <c r="C284" s="1" t="n">
        <v>45211</v>
      </c>
      <c r="D284" t="inlineStr">
        <is>
          <t>ÖSTERGÖTLANDS LÄN</t>
        </is>
      </c>
      <c r="E284" t="inlineStr">
        <is>
          <t>KINDA</t>
        </is>
      </c>
      <c r="G284" t="n">
        <v>2.2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1</v>
      </c>
      <c r="R284" s="2" t="inlineStr">
        <is>
          <t>Smalsprötad bastardsvärmare</t>
        </is>
      </c>
      <c r="S284">
        <f>HYPERLINK("https://klasma.github.io/Logging_0513/artfynd/A 57456-2021.xlsx", "A 57456-2021")</f>
        <v/>
      </c>
      <c r="T284">
        <f>HYPERLINK("https://klasma.github.io/Logging_0513/kartor/A 57456-2021.png", "A 57456-2021")</f>
        <v/>
      </c>
      <c r="V284">
        <f>HYPERLINK("https://klasma.github.io/Logging_0513/klagomål/A 57456-2021.docx", "A 57456-2021")</f>
        <v/>
      </c>
      <c r="W284">
        <f>HYPERLINK("https://klasma.github.io/Logging_0513/klagomålsmail/A 57456-2021.docx", "A 57456-2021")</f>
        <v/>
      </c>
      <c r="X284">
        <f>HYPERLINK("https://klasma.github.io/Logging_0513/tillsyn/A 57456-2021.docx", "A 57456-2021")</f>
        <v/>
      </c>
      <c r="Y284">
        <f>HYPERLINK("https://klasma.github.io/Logging_0513/tillsynsmail/A 57456-2021.docx", "A 57456-2021")</f>
        <v/>
      </c>
    </row>
    <row r="285" ht="15" customHeight="1">
      <c r="A285" t="inlineStr">
        <is>
          <t>A 59254-2021</t>
        </is>
      </c>
      <c r="B285" s="1" t="n">
        <v>44490</v>
      </c>
      <c r="C285" s="1" t="n">
        <v>45211</v>
      </c>
      <c r="D285" t="inlineStr">
        <is>
          <t>ÖSTERGÖTLANDS LÄN</t>
        </is>
      </c>
      <c r="E285" t="inlineStr">
        <is>
          <t>NORRKÖPING</t>
        </is>
      </c>
      <c r="G285" t="n">
        <v>2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s="2" t="inlineStr">
        <is>
          <t>Kattfotslav</t>
        </is>
      </c>
      <c r="S285">
        <f>HYPERLINK("https://klasma.github.io/Logging_0581/artfynd/A 59254-2021.xlsx", "A 59254-2021")</f>
        <v/>
      </c>
      <c r="T285">
        <f>HYPERLINK("https://klasma.github.io/Logging_0581/kartor/A 59254-2021.png", "A 59254-2021")</f>
        <v/>
      </c>
      <c r="V285">
        <f>HYPERLINK("https://klasma.github.io/Logging_0581/klagomål/A 59254-2021.docx", "A 59254-2021")</f>
        <v/>
      </c>
      <c r="W285">
        <f>HYPERLINK("https://klasma.github.io/Logging_0581/klagomålsmail/A 59254-2021.docx", "A 59254-2021")</f>
        <v/>
      </c>
      <c r="X285">
        <f>HYPERLINK("https://klasma.github.io/Logging_0581/tillsyn/A 59254-2021.docx", "A 59254-2021")</f>
        <v/>
      </c>
      <c r="Y285">
        <f>HYPERLINK("https://klasma.github.io/Logging_0581/tillsynsmail/A 59254-2021.docx", "A 59254-2021")</f>
        <v/>
      </c>
    </row>
    <row r="286" ht="15" customHeight="1">
      <c r="A286" t="inlineStr">
        <is>
          <t>A 60573-2021</t>
        </is>
      </c>
      <c r="B286" s="1" t="n">
        <v>44496</v>
      </c>
      <c r="C286" s="1" t="n">
        <v>45211</v>
      </c>
      <c r="D286" t="inlineStr">
        <is>
          <t>ÖSTERGÖTLANDS LÄN</t>
        </is>
      </c>
      <c r="E286" t="inlineStr">
        <is>
          <t>LINKÖPING</t>
        </is>
      </c>
      <c r="F286" t="inlineStr">
        <is>
          <t>Övriga Aktiebolag</t>
        </is>
      </c>
      <c r="G286" t="n">
        <v>5.6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1</v>
      </c>
      <c r="R286" s="2" t="inlineStr">
        <is>
          <t>Sommarfibbla</t>
        </is>
      </c>
      <c r="S286">
        <f>HYPERLINK("https://klasma.github.io/Logging_0580/artfynd/A 60573-2021.xlsx", "A 60573-2021")</f>
        <v/>
      </c>
      <c r="T286">
        <f>HYPERLINK("https://klasma.github.io/Logging_0580/kartor/A 60573-2021.png", "A 60573-2021")</f>
        <v/>
      </c>
      <c r="V286">
        <f>HYPERLINK("https://klasma.github.io/Logging_0580/klagomål/A 60573-2021.docx", "A 60573-2021")</f>
        <v/>
      </c>
      <c r="W286">
        <f>HYPERLINK("https://klasma.github.io/Logging_0580/klagomålsmail/A 60573-2021.docx", "A 60573-2021")</f>
        <v/>
      </c>
      <c r="X286">
        <f>HYPERLINK("https://klasma.github.io/Logging_0580/tillsyn/A 60573-2021.docx", "A 60573-2021")</f>
        <v/>
      </c>
      <c r="Y286">
        <f>HYPERLINK("https://klasma.github.io/Logging_0580/tillsynsmail/A 60573-2021.docx", "A 60573-2021")</f>
        <v/>
      </c>
    </row>
    <row r="287" ht="15" customHeight="1">
      <c r="A287" t="inlineStr">
        <is>
          <t>A 67652-2021</t>
        </is>
      </c>
      <c r="B287" s="1" t="n">
        <v>44524</v>
      </c>
      <c r="C287" s="1" t="n">
        <v>45211</v>
      </c>
      <c r="D287" t="inlineStr">
        <is>
          <t>ÖSTERGÖTLANDS LÄN</t>
        </is>
      </c>
      <c r="E287" t="inlineStr">
        <is>
          <t>NORRKÖPING</t>
        </is>
      </c>
      <c r="G287" t="n">
        <v>0.7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s="2" t="inlineStr">
        <is>
          <t>Blåsippa</t>
        </is>
      </c>
      <c r="S287">
        <f>HYPERLINK("https://klasma.github.io/Logging_0581/artfynd/A 67652-2021.xlsx", "A 67652-2021")</f>
        <v/>
      </c>
      <c r="T287">
        <f>HYPERLINK("https://klasma.github.io/Logging_0581/kartor/A 67652-2021.png", "A 67652-2021")</f>
        <v/>
      </c>
      <c r="V287">
        <f>HYPERLINK("https://klasma.github.io/Logging_0581/klagomål/A 67652-2021.docx", "A 67652-2021")</f>
        <v/>
      </c>
      <c r="W287">
        <f>HYPERLINK("https://klasma.github.io/Logging_0581/klagomålsmail/A 67652-2021.docx", "A 67652-2021")</f>
        <v/>
      </c>
      <c r="X287">
        <f>HYPERLINK("https://klasma.github.io/Logging_0581/tillsyn/A 67652-2021.docx", "A 67652-2021")</f>
        <v/>
      </c>
      <c r="Y287">
        <f>HYPERLINK("https://klasma.github.io/Logging_0581/tillsynsmail/A 67652-2021.docx", "A 67652-2021")</f>
        <v/>
      </c>
    </row>
    <row r="288" ht="15" customHeight="1">
      <c r="A288" t="inlineStr">
        <is>
          <t>A 68414-2021</t>
        </is>
      </c>
      <c r="B288" s="1" t="n">
        <v>44529</v>
      </c>
      <c r="C288" s="1" t="n">
        <v>45211</v>
      </c>
      <c r="D288" t="inlineStr">
        <is>
          <t>ÖSTERGÖTLANDS LÄN</t>
        </is>
      </c>
      <c r="E288" t="inlineStr">
        <is>
          <t>FINSPÅNG</t>
        </is>
      </c>
      <c r="G288" t="n">
        <v>4.4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1</v>
      </c>
      <c r="P288" t="n">
        <v>1</v>
      </c>
      <c r="Q288" t="n">
        <v>1</v>
      </c>
      <c r="R288" s="2" t="inlineStr">
        <is>
          <t>Skogsalm</t>
        </is>
      </c>
      <c r="S288">
        <f>HYPERLINK("https://klasma.github.io/Logging_0562/artfynd/A 68414-2021.xlsx", "A 68414-2021")</f>
        <v/>
      </c>
      <c r="T288">
        <f>HYPERLINK("https://klasma.github.io/Logging_0562/kartor/A 68414-2021.png", "A 68414-2021")</f>
        <v/>
      </c>
      <c r="V288">
        <f>HYPERLINK("https://klasma.github.io/Logging_0562/klagomål/A 68414-2021.docx", "A 68414-2021")</f>
        <v/>
      </c>
      <c r="W288">
        <f>HYPERLINK("https://klasma.github.io/Logging_0562/klagomålsmail/A 68414-2021.docx", "A 68414-2021")</f>
        <v/>
      </c>
      <c r="X288">
        <f>HYPERLINK("https://klasma.github.io/Logging_0562/tillsyn/A 68414-2021.docx", "A 68414-2021")</f>
        <v/>
      </c>
      <c r="Y288">
        <f>HYPERLINK("https://klasma.github.io/Logging_0562/tillsynsmail/A 68414-2021.docx", "A 68414-2021")</f>
        <v/>
      </c>
    </row>
    <row r="289" ht="15" customHeight="1">
      <c r="A289" t="inlineStr">
        <is>
          <t>A 69211-2021</t>
        </is>
      </c>
      <c r="B289" s="1" t="n">
        <v>44531</v>
      </c>
      <c r="C289" s="1" t="n">
        <v>45211</v>
      </c>
      <c r="D289" t="inlineStr">
        <is>
          <t>ÖSTERGÖTLANDS LÄN</t>
        </is>
      </c>
      <c r="E289" t="inlineStr">
        <is>
          <t>LINKÖPING</t>
        </is>
      </c>
      <c r="F289" t="inlineStr">
        <is>
          <t>Övriga statliga verk och myndigheter</t>
        </is>
      </c>
      <c r="G289" t="n">
        <v>3.8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s="2" t="inlineStr">
        <is>
          <t>Bronshjon</t>
        </is>
      </c>
      <c r="S289">
        <f>HYPERLINK("https://klasma.github.io/Logging_0580/artfynd/A 69211-2021.xlsx", "A 69211-2021")</f>
        <v/>
      </c>
      <c r="T289">
        <f>HYPERLINK("https://klasma.github.io/Logging_0580/kartor/A 69211-2021.png", "A 69211-2021")</f>
        <v/>
      </c>
      <c r="V289">
        <f>HYPERLINK("https://klasma.github.io/Logging_0580/klagomål/A 69211-2021.docx", "A 69211-2021")</f>
        <v/>
      </c>
      <c r="W289">
        <f>HYPERLINK("https://klasma.github.io/Logging_0580/klagomålsmail/A 69211-2021.docx", "A 69211-2021")</f>
        <v/>
      </c>
      <c r="X289">
        <f>HYPERLINK("https://klasma.github.io/Logging_0580/tillsyn/A 69211-2021.docx", "A 69211-2021")</f>
        <v/>
      </c>
      <c r="Y289">
        <f>HYPERLINK("https://klasma.github.io/Logging_0580/tillsynsmail/A 69211-2021.docx", "A 69211-2021")</f>
        <v/>
      </c>
    </row>
    <row r="290" ht="15" customHeight="1">
      <c r="A290" t="inlineStr">
        <is>
          <t>A 71127-2021</t>
        </is>
      </c>
      <c r="B290" s="1" t="n">
        <v>44537</v>
      </c>
      <c r="C290" s="1" t="n">
        <v>45211</v>
      </c>
      <c r="D290" t="inlineStr">
        <is>
          <t>ÖSTERGÖTLANDS LÄN</t>
        </is>
      </c>
      <c r="E290" t="inlineStr">
        <is>
          <t>LINKÖPING</t>
        </is>
      </c>
      <c r="F290" t="inlineStr">
        <is>
          <t>Kommuner</t>
        </is>
      </c>
      <c r="G290" t="n">
        <v>7.2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1</v>
      </c>
      <c r="R290" s="2" t="inlineStr">
        <is>
          <t>Svinrot</t>
        </is>
      </c>
      <c r="S290">
        <f>HYPERLINK("https://klasma.github.io/Logging_0580/artfynd/A 71127-2021.xlsx", "A 71127-2021")</f>
        <v/>
      </c>
      <c r="T290">
        <f>HYPERLINK("https://klasma.github.io/Logging_0580/kartor/A 71127-2021.png", "A 71127-2021")</f>
        <v/>
      </c>
      <c r="V290">
        <f>HYPERLINK("https://klasma.github.io/Logging_0580/klagomål/A 71127-2021.docx", "A 71127-2021")</f>
        <v/>
      </c>
      <c r="W290">
        <f>HYPERLINK("https://klasma.github.io/Logging_0580/klagomålsmail/A 71127-2021.docx", "A 71127-2021")</f>
        <v/>
      </c>
      <c r="X290">
        <f>HYPERLINK("https://klasma.github.io/Logging_0580/tillsyn/A 71127-2021.docx", "A 71127-2021")</f>
        <v/>
      </c>
      <c r="Y290">
        <f>HYPERLINK("https://klasma.github.io/Logging_0580/tillsynsmail/A 71127-2021.docx", "A 71127-2021")</f>
        <v/>
      </c>
    </row>
    <row r="291" ht="15" customHeight="1">
      <c r="A291" t="inlineStr">
        <is>
          <t>A 72192-2021</t>
        </is>
      </c>
      <c r="B291" s="1" t="n">
        <v>44544</v>
      </c>
      <c r="C291" s="1" t="n">
        <v>45211</v>
      </c>
      <c r="D291" t="inlineStr">
        <is>
          <t>ÖSTERGÖTLANDS LÄN</t>
        </is>
      </c>
      <c r="E291" t="inlineStr">
        <is>
          <t>MOTALA</t>
        </is>
      </c>
      <c r="F291" t="inlineStr">
        <is>
          <t>Sveaskog</t>
        </is>
      </c>
      <c r="G291" t="n">
        <v>4.6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1</v>
      </c>
      <c r="P291" t="n">
        <v>1</v>
      </c>
      <c r="Q291" t="n">
        <v>1</v>
      </c>
      <c r="R291" s="2" t="inlineStr">
        <is>
          <t>Ask</t>
        </is>
      </c>
      <c r="S291">
        <f>HYPERLINK("https://klasma.github.io/Logging_0583/artfynd/A 72192-2021.xlsx", "A 72192-2021")</f>
        <v/>
      </c>
      <c r="T291">
        <f>HYPERLINK("https://klasma.github.io/Logging_0583/kartor/A 72192-2021.png", "A 72192-2021")</f>
        <v/>
      </c>
      <c r="V291">
        <f>HYPERLINK("https://klasma.github.io/Logging_0583/klagomål/A 72192-2021.docx", "A 72192-2021")</f>
        <v/>
      </c>
      <c r="W291">
        <f>HYPERLINK("https://klasma.github.io/Logging_0583/klagomålsmail/A 72192-2021.docx", "A 72192-2021")</f>
        <v/>
      </c>
      <c r="X291">
        <f>HYPERLINK("https://klasma.github.io/Logging_0583/tillsyn/A 72192-2021.docx", "A 72192-2021")</f>
        <v/>
      </c>
      <c r="Y291">
        <f>HYPERLINK("https://klasma.github.io/Logging_0583/tillsynsmail/A 72192-2021.docx", "A 72192-2021")</f>
        <v/>
      </c>
    </row>
    <row r="292" ht="15" customHeight="1">
      <c r="A292" t="inlineStr">
        <is>
          <t>A 2628-2022</t>
        </is>
      </c>
      <c r="B292" s="1" t="n">
        <v>44579</v>
      </c>
      <c r="C292" s="1" t="n">
        <v>45211</v>
      </c>
      <c r="D292" t="inlineStr">
        <is>
          <t>ÖSTERGÖTLANDS LÄN</t>
        </is>
      </c>
      <c r="E292" t="inlineStr">
        <is>
          <t>LINKÖPING</t>
        </is>
      </c>
      <c r="G292" t="n">
        <v>4.6</v>
      </c>
      <c r="H292" t="n">
        <v>1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s="2" t="inlineStr">
        <is>
          <t>Dårgräsfjäril</t>
        </is>
      </c>
      <c r="S292">
        <f>HYPERLINK("https://klasma.github.io/Logging_0580/artfynd/A 2628-2022.xlsx", "A 2628-2022")</f>
        <v/>
      </c>
      <c r="T292">
        <f>HYPERLINK("https://klasma.github.io/Logging_0580/kartor/A 2628-2022.png", "A 2628-2022")</f>
        <v/>
      </c>
      <c r="V292">
        <f>HYPERLINK("https://klasma.github.io/Logging_0580/klagomål/A 2628-2022.docx", "A 2628-2022")</f>
        <v/>
      </c>
      <c r="W292">
        <f>HYPERLINK("https://klasma.github.io/Logging_0580/klagomålsmail/A 2628-2022.docx", "A 2628-2022")</f>
        <v/>
      </c>
      <c r="X292">
        <f>HYPERLINK("https://klasma.github.io/Logging_0580/tillsyn/A 2628-2022.docx", "A 2628-2022")</f>
        <v/>
      </c>
      <c r="Y292">
        <f>HYPERLINK("https://klasma.github.io/Logging_0580/tillsynsmail/A 2628-2022.docx", "A 2628-2022")</f>
        <v/>
      </c>
    </row>
    <row r="293" ht="15" customHeight="1">
      <c r="A293" t="inlineStr">
        <is>
          <t>A 5911-2022</t>
        </is>
      </c>
      <c r="B293" s="1" t="n">
        <v>44597</v>
      </c>
      <c r="C293" s="1" t="n">
        <v>45211</v>
      </c>
      <c r="D293" t="inlineStr">
        <is>
          <t>ÖSTERGÖTLANDS LÄN</t>
        </is>
      </c>
      <c r="E293" t="inlineStr">
        <is>
          <t>LINKÖPING</t>
        </is>
      </c>
      <c r="G293" t="n">
        <v>3.5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1</v>
      </c>
      <c r="R293" s="2" t="inlineStr">
        <is>
          <t>Spindelört</t>
        </is>
      </c>
      <c r="S293">
        <f>HYPERLINK("https://klasma.github.io/Logging_0580/artfynd/A 5911-2022.xlsx", "A 5911-2022")</f>
        <v/>
      </c>
      <c r="T293">
        <f>HYPERLINK("https://klasma.github.io/Logging_0580/kartor/A 5911-2022.png", "A 5911-2022")</f>
        <v/>
      </c>
      <c r="V293">
        <f>HYPERLINK("https://klasma.github.io/Logging_0580/klagomål/A 5911-2022.docx", "A 5911-2022")</f>
        <v/>
      </c>
      <c r="W293">
        <f>HYPERLINK("https://klasma.github.io/Logging_0580/klagomålsmail/A 5911-2022.docx", "A 5911-2022")</f>
        <v/>
      </c>
      <c r="X293">
        <f>HYPERLINK("https://klasma.github.io/Logging_0580/tillsyn/A 5911-2022.docx", "A 5911-2022")</f>
        <v/>
      </c>
      <c r="Y293">
        <f>HYPERLINK("https://klasma.github.io/Logging_0580/tillsynsmail/A 5911-2022.docx", "A 5911-2022")</f>
        <v/>
      </c>
    </row>
    <row r="294" ht="15" customHeight="1">
      <c r="A294" t="inlineStr">
        <is>
          <t>A 6035-2022</t>
        </is>
      </c>
      <c r="B294" s="1" t="n">
        <v>44599</v>
      </c>
      <c r="C294" s="1" t="n">
        <v>45211</v>
      </c>
      <c r="D294" t="inlineStr">
        <is>
          <t>ÖSTERGÖTLANDS LÄN</t>
        </is>
      </c>
      <c r="E294" t="inlineStr">
        <is>
          <t>FINSPÅNG</t>
        </is>
      </c>
      <c r="F294" t="inlineStr">
        <is>
          <t>Naturvårdsverket</t>
        </is>
      </c>
      <c r="G294" t="n">
        <v>0.8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s="2" t="inlineStr">
        <is>
          <t>Bred kärrtrollslända</t>
        </is>
      </c>
      <c r="S294">
        <f>HYPERLINK("https://klasma.github.io/Logging_0562/artfynd/A 6035-2022.xlsx", "A 6035-2022")</f>
        <v/>
      </c>
      <c r="T294">
        <f>HYPERLINK("https://klasma.github.io/Logging_0562/kartor/A 6035-2022.png", "A 6035-2022")</f>
        <v/>
      </c>
      <c r="V294">
        <f>HYPERLINK("https://klasma.github.io/Logging_0562/klagomål/A 6035-2022.docx", "A 6035-2022")</f>
        <v/>
      </c>
      <c r="W294">
        <f>HYPERLINK("https://klasma.github.io/Logging_0562/klagomålsmail/A 6035-2022.docx", "A 6035-2022")</f>
        <v/>
      </c>
      <c r="X294">
        <f>HYPERLINK("https://klasma.github.io/Logging_0562/tillsyn/A 6035-2022.docx", "A 6035-2022")</f>
        <v/>
      </c>
      <c r="Y294">
        <f>HYPERLINK("https://klasma.github.io/Logging_0562/tillsynsmail/A 6035-2022.docx", "A 6035-2022")</f>
        <v/>
      </c>
    </row>
    <row r="295" ht="15" customHeight="1">
      <c r="A295" t="inlineStr">
        <is>
          <t>A 8014-2022</t>
        </is>
      </c>
      <c r="B295" s="1" t="n">
        <v>44609</v>
      </c>
      <c r="C295" s="1" t="n">
        <v>45211</v>
      </c>
      <c r="D295" t="inlineStr">
        <is>
          <t>ÖSTERGÖTLANDS LÄN</t>
        </is>
      </c>
      <c r="E295" t="inlineStr">
        <is>
          <t>ÅTVIDABERG</t>
        </is>
      </c>
      <c r="G295" t="n">
        <v>0.9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1</v>
      </c>
      <c r="R295" s="2" t="inlineStr">
        <is>
          <t>Tallticka</t>
        </is>
      </c>
      <c r="S295">
        <f>HYPERLINK("https://klasma.github.io/Logging_0561/artfynd/A 8014-2022.xlsx", "A 8014-2022")</f>
        <v/>
      </c>
      <c r="T295">
        <f>HYPERLINK("https://klasma.github.io/Logging_0561/kartor/A 8014-2022.png", "A 8014-2022")</f>
        <v/>
      </c>
      <c r="V295">
        <f>HYPERLINK("https://klasma.github.io/Logging_0561/klagomål/A 8014-2022.docx", "A 8014-2022")</f>
        <v/>
      </c>
      <c r="W295">
        <f>HYPERLINK("https://klasma.github.io/Logging_0561/klagomålsmail/A 8014-2022.docx", "A 8014-2022")</f>
        <v/>
      </c>
      <c r="X295">
        <f>HYPERLINK("https://klasma.github.io/Logging_0561/tillsyn/A 8014-2022.docx", "A 8014-2022")</f>
        <v/>
      </c>
      <c r="Y295">
        <f>HYPERLINK("https://klasma.github.io/Logging_0561/tillsynsmail/A 8014-2022.docx", "A 8014-2022")</f>
        <v/>
      </c>
    </row>
    <row r="296" ht="15" customHeight="1">
      <c r="A296" t="inlineStr">
        <is>
          <t>A 9976-2022</t>
        </is>
      </c>
      <c r="B296" s="1" t="n">
        <v>44621</v>
      </c>
      <c r="C296" s="1" t="n">
        <v>45211</v>
      </c>
      <c r="D296" t="inlineStr">
        <is>
          <t>ÖSTERGÖTLANDS LÄN</t>
        </is>
      </c>
      <c r="E296" t="inlineStr">
        <is>
          <t>ÅTVIDABERG</t>
        </is>
      </c>
      <c r="G296" t="n">
        <v>1.2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1</v>
      </c>
      <c r="R296" s="2" t="inlineStr">
        <is>
          <t>Skogsklocka</t>
        </is>
      </c>
      <c r="S296">
        <f>HYPERLINK("https://klasma.github.io/Logging_0561/artfynd/A 9976-2022.xlsx", "A 9976-2022")</f>
        <v/>
      </c>
      <c r="T296">
        <f>HYPERLINK("https://klasma.github.io/Logging_0561/kartor/A 9976-2022.png", "A 9976-2022")</f>
        <v/>
      </c>
      <c r="V296">
        <f>HYPERLINK("https://klasma.github.io/Logging_0561/klagomål/A 9976-2022.docx", "A 9976-2022")</f>
        <v/>
      </c>
      <c r="W296">
        <f>HYPERLINK("https://klasma.github.io/Logging_0561/klagomålsmail/A 9976-2022.docx", "A 9976-2022")</f>
        <v/>
      </c>
      <c r="X296">
        <f>HYPERLINK("https://klasma.github.io/Logging_0561/tillsyn/A 9976-2022.docx", "A 9976-2022")</f>
        <v/>
      </c>
      <c r="Y296">
        <f>HYPERLINK("https://klasma.github.io/Logging_0561/tillsynsmail/A 9976-2022.docx", "A 9976-2022")</f>
        <v/>
      </c>
    </row>
    <row r="297" ht="15" customHeight="1">
      <c r="A297" t="inlineStr">
        <is>
          <t>A 12170-2022</t>
        </is>
      </c>
      <c r="B297" s="1" t="n">
        <v>44636</v>
      </c>
      <c r="C297" s="1" t="n">
        <v>45211</v>
      </c>
      <c r="D297" t="inlineStr">
        <is>
          <t>ÖSTERGÖTLANDS LÄN</t>
        </is>
      </c>
      <c r="E297" t="inlineStr">
        <is>
          <t>KINDA</t>
        </is>
      </c>
      <c r="F297" t="inlineStr">
        <is>
          <t>Kommuner</t>
        </is>
      </c>
      <c r="G297" t="n">
        <v>1.2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1</v>
      </c>
      <c r="R297" s="2" t="inlineStr">
        <is>
          <t>Ask</t>
        </is>
      </c>
      <c r="S297">
        <f>HYPERLINK("https://klasma.github.io/Logging_0513/artfynd/A 12170-2022.xlsx", "A 12170-2022")</f>
        <v/>
      </c>
      <c r="T297">
        <f>HYPERLINK("https://klasma.github.io/Logging_0513/kartor/A 12170-2022.png", "A 12170-2022")</f>
        <v/>
      </c>
      <c r="V297">
        <f>HYPERLINK("https://klasma.github.io/Logging_0513/klagomål/A 12170-2022.docx", "A 12170-2022")</f>
        <v/>
      </c>
      <c r="W297">
        <f>HYPERLINK("https://klasma.github.io/Logging_0513/klagomålsmail/A 12170-2022.docx", "A 12170-2022")</f>
        <v/>
      </c>
      <c r="X297">
        <f>HYPERLINK("https://klasma.github.io/Logging_0513/tillsyn/A 12170-2022.docx", "A 12170-2022")</f>
        <v/>
      </c>
      <c r="Y297">
        <f>HYPERLINK("https://klasma.github.io/Logging_0513/tillsynsmail/A 12170-2022.docx", "A 12170-2022")</f>
        <v/>
      </c>
    </row>
    <row r="298" ht="15" customHeight="1">
      <c r="A298" t="inlineStr">
        <is>
          <t>A 12801-2022</t>
        </is>
      </c>
      <c r="B298" s="1" t="n">
        <v>44642</v>
      </c>
      <c r="C298" s="1" t="n">
        <v>45211</v>
      </c>
      <c r="D298" t="inlineStr">
        <is>
          <t>ÖSTERGÖTLANDS LÄN</t>
        </is>
      </c>
      <c r="E298" t="inlineStr">
        <is>
          <t>KINDA</t>
        </is>
      </c>
      <c r="G298" t="n">
        <v>3.9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s="2" t="inlineStr">
        <is>
          <t>Revlummer</t>
        </is>
      </c>
      <c r="S298">
        <f>HYPERLINK("https://klasma.github.io/Logging_0513/artfynd/A 12801-2022.xlsx", "A 12801-2022")</f>
        <v/>
      </c>
      <c r="T298">
        <f>HYPERLINK("https://klasma.github.io/Logging_0513/kartor/A 12801-2022.png", "A 12801-2022")</f>
        <v/>
      </c>
      <c r="V298">
        <f>HYPERLINK("https://klasma.github.io/Logging_0513/klagomål/A 12801-2022.docx", "A 12801-2022")</f>
        <v/>
      </c>
      <c r="W298">
        <f>HYPERLINK("https://klasma.github.io/Logging_0513/klagomålsmail/A 12801-2022.docx", "A 12801-2022")</f>
        <v/>
      </c>
      <c r="X298">
        <f>HYPERLINK("https://klasma.github.io/Logging_0513/tillsyn/A 12801-2022.docx", "A 12801-2022")</f>
        <v/>
      </c>
      <c r="Y298">
        <f>HYPERLINK("https://klasma.github.io/Logging_0513/tillsynsmail/A 12801-2022.docx", "A 12801-2022")</f>
        <v/>
      </c>
    </row>
    <row r="299" ht="15" customHeight="1">
      <c r="A299" t="inlineStr">
        <is>
          <t>A 15823-2022</t>
        </is>
      </c>
      <c r="B299" s="1" t="n">
        <v>44664</v>
      </c>
      <c r="C299" s="1" t="n">
        <v>45211</v>
      </c>
      <c r="D299" t="inlineStr">
        <is>
          <t>ÖSTERGÖTLANDS LÄN</t>
        </is>
      </c>
      <c r="E299" t="inlineStr">
        <is>
          <t>ÖDESHÖG</t>
        </is>
      </c>
      <c r="F299" t="inlineStr">
        <is>
          <t>Sveaskog</t>
        </is>
      </c>
      <c r="G299" t="n">
        <v>6.5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s="2" t="inlineStr">
        <is>
          <t>Hasselmus</t>
        </is>
      </c>
      <c r="S299">
        <f>HYPERLINK("https://klasma.github.io/Logging_0509/artfynd/A 15823-2022.xlsx", "A 15823-2022")</f>
        <v/>
      </c>
      <c r="T299">
        <f>HYPERLINK("https://klasma.github.io/Logging_0509/kartor/A 15823-2022.png", "A 15823-2022")</f>
        <v/>
      </c>
      <c r="V299">
        <f>HYPERLINK("https://klasma.github.io/Logging_0509/klagomål/A 15823-2022.docx", "A 15823-2022")</f>
        <v/>
      </c>
      <c r="W299">
        <f>HYPERLINK("https://klasma.github.io/Logging_0509/klagomålsmail/A 15823-2022.docx", "A 15823-2022")</f>
        <v/>
      </c>
      <c r="X299">
        <f>HYPERLINK("https://klasma.github.io/Logging_0509/tillsyn/A 15823-2022.docx", "A 15823-2022")</f>
        <v/>
      </c>
      <c r="Y299">
        <f>HYPERLINK("https://klasma.github.io/Logging_0509/tillsynsmail/A 15823-2022.docx", "A 15823-2022")</f>
        <v/>
      </c>
    </row>
    <row r="300" ht="15" customHeight="1">
      <c r="A300" t="inlineStr">
        <is>
          <t>A 17513-2022</t>
        </is>
      </c>
      <c r="B300" s="1" t="n">
        <v>44679</v>
      </c>
      <c r="C300" s="1" t="n">
        <v>45211</v>
      </c>
      <c r="D300" t="inlineStr">
        <is>
          <t>ÖSTERGÖTLANDS LÄN</t>
        </is>
      </c>
      <c r="E300" t="inlineStr">
        <is>
          <t>LINKÖPING</t>
        </is>
      </c>
      <c r="F300" t="inlineStr">
        <is>
          <t>Kommuner</t>
        </is>
      </c>
      <c r="G300" t="n">
        <v>1.6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1</v>
      </c>
      <c r="R300" s="2" t="inlineStr">
        <is>
          <t>Sexfläckig bastardsvärmare</t>
        </is>
      </c>
      <c r="S300">
        <f>HYPERLINK("https://klasma.github.io/Logging_0580/artfynd/A 17513-2022.xlsx", "A 17513-2022")</f>
        <v/>
      </c>
      <c r="T300">
        <f>HYPERLINK("https://klasma.github.io/Logging_0580/kartor/A 17513-2022.png", "A 17513-2022")</f>
        <v/>
      </c>
      <c r="V300">
        <f>HYPERLINK("https://klasma.github.io/Logging_0580/klagomål/A 17513-2022.docx", "A 17513-2022")</f>
        <v/>
      </c>
      <c r="W300">
        <f>HYPERLINK("https://klasma.github.io/Logging_0580/klagomålsmail/A 17513-2022.docx", "A 17513-2022")</f>
        <v/>
      </c>
      <c r="X300">
        <f>HYPERLINK("https://klasma.github.io/Logging_0580/tillsyn/A 17513-2022.docx", "A 17513-2022")</f>
        <v/>
      </c>
      <c r="Y300">
        <f>HYPERLINK("https://klasma.github.io/Logging_0580/tillsynsmail/A 17513-2022.docx", "A 17513-2022")</f>
        <v/>
      </c>
    </row>
    <row r="301" ht="15" customHeight="1">
      <c r="A301" t="inlineStr">
        <is>
          <t>A 17960-2022</t>
        </is>
      </c>
      <c r="B301" s="1" t="n">
        <v>44683</v>
      </c>
      <c r="C301" s="1" t="n">
        <v>45211</v>
      </c>
      <c r="D301" t="inlineStr">
        <is>
          <t>ÖSTERGÖTLANDS LÄN</t>
        </is>
      </c>
      <c r="E301" t="inlineStr">
        <is>
          <t>FINSPÅNG</t>
        </is>
      </c>
      <c r="F301" t="inlineStr">
        <is>
          <t>Holmen skog AB</t>
        </is>
      </c>
      <c r="G301" t="n">
        <v>0.8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s="2" t="inlineStr">
        <is>
          <t>Källpraktmossa</t>
        </is>
      </c>
      <c r="S301">
        <f>HYPERLINK("https://klasma.github.io/Logging_0562/artfynd/A 17960-2022.xlsx", "A 17960-2022")</f>
        <v/>
      </c>
      <c r="T301">
        <f>HYPERLINK("https://klasma.github.io/Logging_0562/kartor/A 17960-2022.png", "A 17960-2022")</f>
        <v/>
      </c>
      <c r="V301">
        <f>HYPERLINK("https://klasma.github.io/Logging_0562/klagomål/A 17960-2022.docx", "A 17960-2022")</f>
        <v/>
      </c>
      <c r="W301">
        <f>HYPERLINK("https://klasma.github.io/Logging_0562/klagomålsmail/A 17960-2022.docx", "A 17960-2022")</f>
        <v/>
      </c>
      <c r="X301">
        <f>HYPERLINK("https://klasma.github.io/Logging_0562/tillsyn/A 17960-2022.docx", "A 17960-2022")</f>
        <v/>
      </c>
      <c r="Y301">
        <f>HYPERLINK("https://klasma.github.io/Logging_0562/tillsynsmail/A 17960-2022.docx", "A 17960-2022")</f>
        <v/>
      </c>
    </row>
    <row r="302" ht="15" customHeight="1">
      <c r="A302" t="inlineStr">
        <is>
          <t>A 18898-2022</t>
        </is>
      </c>
      <c r="B302" s="1" t="n">
        <v>44690</v>
      </c>
      <c r="C302" s="1" t="n">
        <v>45211</v>
      </c>
      <c r="D302" t="inlineStr">
        <is>
          <t>ÖSTERGÖTLANDS LÄN</t>
        </is>
      </c>
      <c r="E302" t="inlineStr">
        <is>
          <t>KINDA</t>
        </is>
      </c>
      <c r="F302" t="inlineStr">
        <is>
          <t>Allmännings- och besparingsskogar</t>
        </is>
      </c>
      <c r="G302" t="n">
        <v>4.9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s="2" t="inlineStr">
        <is>
          <t>Vätteros</t>
        </is>
      </c>
      <c r="S302">
        <f>HYPERLINK("https://klasma.github.io/Logging_0513/artfynd/A 18898-2022.xlsx", "A 18898-2022")</f>
        <v/>
      </c>
      <c r="T302">
        <f>HYPERLINK("https://klasma.github.io/Logging_0513/kartor/A 18898-2022.png", "A 18898-2022")</f>
        <v/>
      </c>
      <c r="V302">
        <f>HYPERLINK("https://klasma.github.io/Logging_0513/klagomål/A 18898-2022.docx", "A 18898-2022")</f>
        <v/>
      </c>
      <c r="W302">
        <f>HYPERLINK("https://klasma.github.io/Logging_0513/klagomålsmail/A 18898-2022.docx", "A 18898-2022")</f>
        <v/>
      </c>
      <c r="X302">
        <f>HYPERLINK("https://klasma.github.io/Logging_0513/tillsyn/A 18898-2022.docx", "A 18898-2022")</f>
        <v/>
      </c>
      <c r="Y302">
        <f>HYPERLINK("https://klasma.github.io/Logging_0513/tillsynsmail/A 18898-2022.docx", "A 18898-2022")</f>
        <v/>
      </c>
    </row>
    <row r="303" ht="15" customHeight="1">
      <c r="A303" t="inlineStr">
        <is>
          <t>A 21473-2022</t>
        </is>
      </c>
      <c r="B303" s="1" t="n">
        <v>44706</v>
      </c>
      <c r="C303" s="1" t="n">
        <v>45211</v>
      </c>
      <c r="D303" t="inlineStr">
        <is>
          <t>ÖSTERGÖTLANDS LÄN</t>
        </is>
      </c>
      <c r="E303" t="inlineStr">
        <is>
          <t>KINDA</t>
        </is>
      </c>
      <c r="G303" t="n">
        <v>6.4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s="2" t="inlineStr">
        <is>
          <t>Revlummer</t>
        </is>
      </c>
      <c r="S303">
        <f>HYPERLINK("https://klasma.github.io/Logging_0513/artfynd/A 21473-2022.xlsx", "A 21473-2022")</f>
        <v/>
      </c>
      <c r="T303">
        <f>HYPERLINK("https://klasma.github.io/Logging_0513/kartor/A 21473-2022.png", "A 21473-2022")</f>
        <v/>
      </c>
      <c r="V303">
        <f>HYPERLINK("https://klasma.github.io/Logging_0513/klagomål/A 21473-2022.docx", "A 21473-2022")</f>
        <v/>
      </c>
      <c r="W303">
        <f>HYPERLINK("https://klasma.github.io/Logging_0513/klagomålsmail/A 21473-2022.docx", "A 21473-2022")</f>
        <v/>
      </c>
      <c r="X303">
        <f>HYPERLINK("https://klasma.github.io/Logging_0513/tillsyn/A 21473-2022.docx", "A 21473-2022")</f>
        <v/>
      </c>
      <c r="Y303">
        <f>HYPERLINK("https://klasma.github.io/Logging_0513/tillsynsmail/A 21473-2022.docx", "A 21473-2022")</f>
        <v/>
      </c>
    </row>
    <row r="304" ht="15" customHeight="1">
      <c r="A304" t="inlineStr">
        <is>
          <t>A 27457-2022</t>
        </is>
      </c>
      <c r="B304" s="1" t="n">
        <v>44742</v>
      </c>
      <c r="C304" s="1" t="n">
        <v>45211</v>
      </c>
      <c r="D304" t="inlineStr">
        <is>
          <t>ÖSTERGÖTLANDS LÄN</t>
        </is>
      </c>
      <c r="E304" t="inlineStr">
        <is>
          <t>ÅTVIDABERG</t>
        </is>
      </c>
      <c r="F304" t="inlineStr">
        <is>
          <t>Övriga Aktiebolag</t>
        </is>
      </c>
      <c r="G304" t="n">
        <v>10.8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s="2" t="inlineStr">
        <is>
          <t>Grönpyrola</t>
        </is>
      </c>
      <c r="S304">
        <f>HYPERLINK("https://klasma.github.io/Logging_0561/artfynd/A 27457-2022.xlsx", "A 27457-2022")</f>
        <v/>
      </c>
      <c r="T304">
        <f>HYPERLINK("https://klasma.github.io/Logging_0561/kartor/A 27457-2022.png", "A 27457-2022")</f>
        <v/>
      </c>
      <c r="V304">
        <f>HYPERLINK("https://klasma.github.io/Logging_0561/klagomål/A 27457-2022.docx", "A 27457-2022")</f>
        <v/>
      </c>
      <c r="W304">
        <f>HYPERLINK("https://klasma.github.io/Logging_0561/klagomålsmail/A 27457-2022.docx", "A 27457-2022")</f>
        <v/>
      </c>
      <c r="X304">
        <f>HYPERLINK("https://klasma.github.io/Logging_0561/tillsyn/A 27457-2022.docx", "A 27457-2022")</f>
        <v/>
      </c>
      <c r="Y304">
        <f>HYPERLINK("https://klasma.github.io/Logging_0561/tillsynsmail/A 27457-2022.docx", "A 27457-2022")</f>
        <v/>
      </c>
    </row>
    <row r="305" ht="15" customHeight="1">
      <c r="A305" t="inlineStr">
        <is>
          <t>A 27984-2022</t>
        </is>
      </c>
      <c r="B305" s="1" t="n">
        <v>44745</v>
      </c>
      <c r="C305" s="1" t="n">
        <v>45211</v>
      </c>
      <c r="D305" t="inlineStr">
        <is>
          <t>ÖSTERGÖTLANDS LÄN</t>
        </is>
      </c>
      <c r="E305" t="inlineStr">
        <is>
          <t>LINKÖPING</t>
        </is>
      </c>
      <c r="F305" t="inlineStr">
        <is>
          <t>Övriga Aktiebolag</t>
        </is>
      </c>
      <c r="G305" t="n">
        <v>2.8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1</v>
      </c>
      <c r="P305" t="n">
        <v>1</v>
      </c>
      <c r="Q305" t="n">
        <v>1</v>
      </c>
      <c r="R305" s="2" t="inlineStr">
        <is>
          <t>Ask</t>
        </is>
      </c>
      <c r="S305">
        <f>HYPERLINK("https://klasma.github.io/Logging_0580/artfynd/A 27984-2022.xlsx", "A 27984-2022")</f>
        <v/>
      </c>
      <c r="T305">
        <f>HYPERLINK("https://klasma.github.io/Logging_0580/kartor/A 27984-2022.png", "A 27984-2022")</f>
        <v/>
      </c>
      <c r="V305">
        <f>HYPERLINK("https://klasma.github.io/Logging_0580/klagomål/A 27984-2022.docx", "A 27984-2022")</f>
        <v/>
      </c>
      <c r="W305">
        <f>HYPERLINK("https://klasma.github.io/Logging_0580/klagomålsmail/A 27984-2022.docx", "A 27984-2022")</f>
        <v/>
      </c>
      <c r="X305">
        <f>HYPERLINK("https://klasma.github.io/Logging_0580/tillsyn/A 27984-2022.docx", "A 27984-2022")</f>
        <v/>
      </c>
      <c r="Y305">
        <f>HYPERLINK("https://klasma.github.io/Logging_0580/tillsynsmail/A 27984-2022.docx", "A 27984-2022")</f>
        <v/>
      </c>
    </row>
    <row r="306" ht="15" customHeight="1">
      <c r="A306" t="inlineStr">
        <is>
          <t>A 28123-2022</t>
        </is>
      </c>
      <c r="B306" s="1" t="n">
        <v>44746</v>
      </c>
      <c r="C306" s="1" t="n">
        <v>45211</v>
      </c>
      <c r="D306" t="inlineStr">
        <is>
          <t>ÖSTERGÖTLANDS LÄN</t>
        </is>
      </c>
      <c r="E306" t="inlineStr">
        <is>
          <t>LINKÖPING</t>
        </is>
      </c>
      <c r="G306" t="n">
        <v>6.4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1</v>
      </c>
      <c r="R306" s="2" t="inlineStr">
        <is>
          <t>Gullklöver</t>
        </is>
      </c>
      <c r="S306">
        <f>HYPERLINK("https://klasma.github.io/Logging_0580/artfynd/A 28123-2022.xlsx", "A 28123-2022")</f>
        <v/>
      </c>
      <c r="T306">
        <f>HYPERLINK("https://klasma.github.io/Logging_0580/kartor/A 28123-2022.png", "A 28123-2022")</f>
        <v/>
      </c>
      <c r="V306">
        <f>HYPERLINK("https://klasma.github.io/Logging_0580/klagomål/A 28123-2022.docx", "A 28123-2022")</f>
        <v/>
      </c>
      <c r="W306">
        <f>HYPERLINK("https://klasma.github.io/Logging_0580/klagomålsmail/A 28123-2022.docx", "A 28123-2022")</f>
        <v/>
      </c>
      <c r="X306">
        <f>HYPERLINK("https://klasma.github.io/Logging_0580/tillsyn/A 28123-2022.docx", "A 28123-2022")</f>
        <v/>
      </c>
      <c r="Y306">
        <f>HYPERLINK("https://klasma.github.io/Logging_0580/tillsynsmail/A 28123-2022.docx", "A 28123-2022")</f>
        <v/>
      </c>
    </row>
    <row r="307" ht="15" customHeight="1">
      <c r="A307" t="inlineStr">
        <is>
          <t>A 29467-2022</t>
        </is>
      </c>
      <c r="B307" s="1" t="n">
        <v>44753</v>
      </c>
      <c r="C307" s="1" t="n">
        <v>45211</v>
      </c>
      <c r="D307" t="inlineStr">
        <is>
          <t>ÖSTERGÖTLANDS LÄN</t>
        </is>
      </c>
      <c r="E307" t="inlineStr">
        <is>
          <t>FINSPÅNG</t>
        </is>
      </c>
      <c r="G307" t="n">
        <v>4.4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s="2" t="inlineStr">
        <is>
          <t>Blåsippa</t>
        </is>
      </c>
      <c r="S307">
        <f>HYPERLINK("https://klasma.github.io/Logging_0562/artfynd/A 29467-2022.xlsx", "A 29467-2022")</f>
        <v/>
      </c>
      <c r="T307">
        <f>HYPERLINK("https://klasma.github.io/Logging_0562/kartor/A 29467-2022.png", "A 29467-2022")</f>
        <v/>
      </c>
      <c r="V307">
        <f>HYPERLINK("https://klasma.github.io/Logging_0562/klagomål/A 29467-2022.docx", "A 29467-2022")</f>
        <v/>
      </c>
      <c r="W307">
        <f>HYPERLINK("https://klasma.github.io/Logging_0562/klagomålsmail/A 29467-2022.docx", "A 29467-2022")</f>
        <v/>
      </c>
      <c r="X307">
        <f>HYPERLINK("https://klasma.github.io/Logging_0562/tillsyn/A 29467-2022.docx", "A 29467-2022")</f>
        <v/>
      </c>
      <c r="Y307">
        <f>HYPERLINK("https://klasma.github.io/Logging_0562/tillsynsmail/A 29467-2022.docx", "A 29467-2022")</f>
        <v/>
      </c>
    </row>
    <row r="308" ht="15" customHeight="1">
      <c r="A308" t="inlineStr">
        <is>
          <t>A 29627-2022</t>
        </is>
      </c>
      <c r="B308" s="1" t="n">
        <v>44754</v>
      </c>
      <c r="C308" s="1" t="n">
        <v>45211</v>
      </c>
      <c r="D308" t="inlineStr">
        <is>
          <t>ÖSTERGÖTLANDS LÄN</t>
        </is>
      </c>
      <c r="E308" t="inlineStr">
        <is>
          <t>KINDA</t>
        </is>
      </c>
      <c r="G308" t="n">
        <v>4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1</v>
      </c>
      <c r="R308" s="2" t="inlineStr">
        <is>
          <t>Ullticka</t>
        </is>
      </c>
      <c r="S308">
        <f>HYPERLINK("https://klasma.github.io/Logging_0513/artfynd/A 29627-2022.xlsx", "A 29627-2022")</f>
        <v/>
      </c>
      <c r="T308">
        <f>HYPERLINK("https://klasma.github.io/Logging_0513/kartor/A 29627-2022.png", "A 29627-2022")</f>
        <v/>
      </c>
      <c r="V308">
        <f>HYPERLINK("https://klasma.github.io/Logging_0513/klagomål/A 29627-2022.docx", "A 29627-2022")</f>
        <v/>
      </c>
      <c r="W308">
        <f>HYPERLINK("https://klasma.github.io/Logging_0513/klagomålsmail/A 29627-2022.docx", "A 29627-2022")</f>
        <v/>
      </c>
      <c r="X308">
        <f>HYPERLINK("https://klasma.github.io/Logging_0513/tillsyn/A 29627-2022.docx", "A 29627-2022")</f>
        <v/>
      </c>
      <c r="Y308">
        <f>HYPERLINK("https://klasma.github.io/Logging_0513/tillsynsmail/A 29627-2022.docx", "A 29627-2022")</f>
        <v/>
      </c>
    </row>
    <row r="309" ht="15" customHeight="1">
      <c r="A309" t="inlineStr">
        <is>
          <t>A 31168-2022</t>
        </is>
      </c>
      <c r="B309" s="1" t="n">
        <v>44770</v>
      </c>
      <c r="C309" s="1" t="n">
        <v>45211</v>
      </c>
      <c r="D309" t="inlineStr">
        <is>
          <t>ÖSTERGÖTLANDS LÄN</t>
        </is>
      </c>
      <c r="E309" t="inlineStr">
        <is>
          <t>VALDEMARSVIK</t>
        </is>
      </c>
      <c r="G309" t="n">
        <v>1.7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1</v>
      </c>
      <c r="P309" t="n">
        <v>1</v>
      </c>
      <c r="Q309" t="n">
        <v>1</v>
      </c>
      <c r="R309" s="2" t="inlineStr">
        <is>
          <t>Skogsalm</t>
        </is>
      </c>
      <c r="S309">
        <f>HYPERLINK("https://klasma.github.io/Logging_0563/artfynd/A 31168-2022.xlsx", "A 31168-2022")</f>
        <v/>
      </c>
      <c r="T309">
        <f>HYPERLINK("https://klasma.github.io/Logging_0563/kartor/A 31168-2022.png", "A 31168-2022")</f>
        <v/>
      </c>
      <c r="V309">
        <f>HYPERLINK("https://klasma.github.io/Logging_0563/klagomål/A 31168-2022.docx", "A 31168-2022")</f>
        <v/>
      </c>
      <c r="W309">
        <f>HYPERLINK("https://klasma.github.io/Logging_0563/klagomålsmail/A 31168-2022.docx", "A 31168-2022")</f>
        <v/>
      </c>
      <c r="X309">
        <f>HYPERLINK("https://klasma.github.io/Logging_0563/tillsyn/A 31168-2022.docx", "A 31168-2022")</f>
        <v/>
      </c>
      <c r="Y309">
        <f>HYPERLINK("https://klasma.github.io/Logging_0563/tillsynsmail/A 31168-2022.docx", "A 31168-2022")</f>
        <v/>
      </c>
    </row>
    <row r="310" ht="15" customHeight="1">
      <c r="A310" t="inlineStr">
        <is>
          <t>A 31750-2022</t>
        </is>
      </c>
      <c r="B310" s="1" t="n">
        <v>44776</v>
      </c>
      <c r="C310" s="1" t="n">
        <v>45211</v>
      </c>
      <c r="D310" t="inlineStr">
        <is>
          <t>ÖSTERGÖTLANDS LÄN</t>
        </is>
      </c>
      <c r="E310" t="inlineStr">
        <is>
          <t>FINSPÅNG</t>
        </is>
      </c>
      <c r="G310" t="n">
        <v>4.9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1</v>
      </c>
      <c r="P310" t="n">
        <v>1</v>
      </c>
      <c r="Q310" t="n">
        <v>1</v>
      </c>
      <c r="R310" s="2" t="inlineStr">
        <is>
          <t>Ask</t>
        </is>
      </c>
      <c r="S310">
        <f>HYPERLINK("https://klasma.github.io/Logging_0562/artfynd/A 31750-2022.xlsx", "A 31750-2022")</f>
        <v/>
      </c>
      <c r="T310">
        <f>HYPERLINK("https://klasma.github.io/Logging_0562/kartor/A 31750-2022.png", "A 31750-2022")</f>
        <v/>
      </c>
      <c r="V310">
        <f>HYPERLINK("https://klasma.github.io/Logging_0562/klagomål/A 31750-2022.docx", "A 31750-2022")</f>
        <v/>
      </c>
      <c r="W310">
        <f>HYPERLINK("https://klasma.github.io/Logging_0562/klagomålsmail/A 31750-2022.docx", "A 31750-2022")</f>
        <v/>
      </c>
      <c r="X310">
        <f>HYPERLINK("https://klasma.github.io/Logging_0562/tillsyn/A 31750-2022.docx", "A 31750-2022")</f>
        <v/>
      </c>
      <c r="Y310">
        <f>HYPERLINK("https://klasma.github.io/Logging_0562/tillsynsmail/A 31750-2022.docx", "A 31750-2022")</f>
        <v/>
      </c>
    </row>
    <row r="311" ht="15" customHeight="1">
      <c r="A311" t="inlineStr">
        <is>
          <t>A 33310-2022</t>
        </is>
      </c>
      <c r="B311" s="1" t="n">
        <v>44788</v>
      </c>
      <c r="C311" s="1" t="n">
        <v>45211</v>
      </c>
      <c r="D311" t="inlineStr">
        <is>
          <t>ÖSTERGÖTLANDS LÄN</t>
        </is>
      </c>
      <c r="E311" t="inlineStr">
        <is>
          <t>ÅTVIDABERG</t>
        </is>
      </c>
      <c r="G311" t="n">
        <v>0.4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s="2" t="inlineStr">
        <is>
          <t>Kattfotslav</t>
        </is>
      </c>
      <c r="S311">
        <f>HYPERLINK("https://klasma.github.io/Logging_0561/artfynd/A 33310-2022.xlsx", "A 33310-2022")</f>
        <v/>
      </c>
      <c r="T311">
        <f>HYPERLINK("https://klasma.github.io/Logging_0561/kartor/A 33310-2022.png", "A 33310-2022")</f>
        <v/>
      </c>
      <c r="U311">
        <f>HYPERLINK("https://klasma.github.io/Logging_0561/knärot/A 33310-2022.png", "A 33310-2022")</f>
        <v/>
      </c>
      <c r="V311">
        <f>HYPERLINK("https://klasma.github.io/Logging_0561/klagomål/A 33310-2022.docx", "A 33310-2022")</f>
        <v/>
      </c>
      <c r="W311">
        <f>HYPERLINK("https://klasma.github.io/Logging_0561/klagomålsmail/A 33310-2022.docx", "A 33310-2022")</f>
        <v/>
      </c>
      <c r="X311">
        <f>HYPERLINK("https://klasma.github.io/Logging_0561/tillsyn/A 33310-2022.docx", "A 33310-2022")</f>
        <v/>
      </c>
      <c r="Y311">
        <f>HYPERLINK("https://klasma.github.io/Logging_0561/tillsynsmail/A 33310-2022.docx", "A 33310-2022")</f>
        <v/>
      </c>
    </row>
    <row r="312" ht="15" customHeight="1">
      <c r="A312" t="inlineStr">
        <is>
          <t>A 34096-2022</t>
        </is>
      </c>
      <c r="B312" s="1" t="n">
        <v>44791</v>
      </c>
      <c r="C312" s="1" t="n">
        <v>45211</v>
      </c>
      <c r="D312" t="inlineStr">
        <is>
          <t>ÖSTERGÖTLANDS LÄN</t>
        </is>
      </c>
      <c r="E312" t="inlineStr">
        <is>
          <t>FINSPÅNG</t>
        </is>
      </c>
      <c r="F312" t="inlineStr">
        <is>
          <t>Holmen skog AB</t>
        </is>
      </c>
      <c r="G312" t="n">
        <v>1.3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1</v>
      </c>
      <c r="R312" s="2" t="inlineStr">
        <is>
          <t>Tallticka</t>
        </is>
      </c>
      <c r="S312">
        <f>HYPERLINK("https://klasma.github.io/Logging_0562/artfynd/A 34096-2022.xlsx", "A 34096-2022")</f>
        <v/>
      </c>
      <c r="T312">
        <f>HYPERLINK("https://klasma.github.io/Logging_0562/kartor/A 34096-2022.png", "A 34096-2022")</f>
        <v/>
      </c>
      <c r="V312">
        <f>HYPERLINK("https://klasma.github.io/Logging_0562/klagomål/A 34096-2022.docx", "A 34096-2022")</f>
        <v/>
      </c>
      <c r="W312">
        <f>HYPERLINK("https://klasma.github.io/Logging_0562/klagomålsmail/A 34096-2022.docx", "A 34096-2022")</f>
        <v/>
      </c>
      <c r="X312">
        <f>HYPERLINK("https://klasma.github.io/Logging_0562/tillsyn/A 34096-2022.docx", "A 34096-2022")</f>
        <v/>
      </c>
      <c r="Y312">
        <f>HYPERLINK("https://klasma.github.io/Logging_0562/tillsynsmail/A 34096-2022.docx", "A 34096-2022")</f>
        <v/>
      </c>
    </row>
    <row r="313" ht="15" customHeight="1">
      <c r="A313" t="inlineStr">
        <is>
          <t>A 35787-2022</t>
        </is>
      </c>
      <c r="B313" s="1" t="n">
        <v>44801</v>
      </c>
      <c r="C313" s="1" t="n">
        <v>45211</v>
      </c>
      <c r="D313" t="inlineStr">
        <is>
          <t>ÖSTERGÖTLANDS LÄN</t>
        </is>
      </c>
      <c r="E313" t="inlineStr">
        <is>
          <t>KINDA</t>
        </is>
      </c>
      <c r="G313" t="n">
        <v>4.8</v>
      </c>
      <c r="H313" t="n">
        <v>1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1</v>
      </c>
      <c r="P313" t="n">
        <v>1</v>
      </c>
      <c r="Q313" t="n">
        <v>1</v>
      </c>
      <c r="R313" s="2" t="inlineStr">
        <is>
          <t>Knärot</t>
        </is>
      </c>
      <c r="S313">
        <f>HYPERLINK("https://klasma.github.io/Logging_0513/artfynd/A 35787-2022.xlsx", "A 35787-2022")</f>
        <v/>
      </c>
      <c r="T313">
        <f>HYPERLINK("https://klasma.github.io/Logging_0513/kartor/A 35787-2022.png", "A 35787-2022")</f>
        <v/>
      </c>
      <c r="U313">
        <f>HYPERLINK("https://klasma.github.io/Logging_0513/knärot/A 35787-2022.png", "A 35787-2022")</f>
        <v/>
      </c>
      <c r="V313">
        <f>HYPERLINK("https://klasma.github.io/Logging_0513/klagomål/A 35787-2022.docx", "A 35787-2022")</f>
        <v/>
      </c>
      <c r="W313">
        <f>HYPERLINK("https://klasma.github.io/Logging_0513/klagomålsmail/A 35787-2022.docx", "A 35787-2022")</f>
        <v/>
      </c>
      <c r="X313">
        <f>HYPERLINK("https://klasma.github.io/Logging_0513/tillsyn/A 35787-2022.docx", "A 35787-2022")</f>
        <v/>
      </c>
      <c r="Y313">
        <f>HYPERLINK("https://klasma.github.io/Logging_0513/tillsynsmail/A 35787-2022.docx", "A 35787-2022")</f>
        <v/>
      </c>
    </row>
    <row r="314" ht="15" customHeight="1">
      <c r="A314" t="inlineStr">
        <is>
          <t>A 42354-2022</t>
        </is>
      </c>
      <c r="B314" s="1" t="n">
        <v>44831</v>
      </c>
      <c r="C314" s="1" t="n">
        <v>45211</v>
      </c>
      <c r="D314" t="inlineStr">
        <is>
          <t>ÖSTERGÖTLANDS LÄN</t>
        </is>
      </c>
      <c r="E314" t="inlineStr">
        <is>
          <t>YDRE</t>
        </is>
      </c>
      <c r="F314" t="inlineStr">
        <is>
          <t>Övriga Aktiebolag</t>
        </is>
      </c>
      <c r="G314" t="n">
        <v>9.1</v>
      </c>
      <c r="H314" t="n">
        <v>1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1</v>
      </c>
      <c r="P314" t="n">
        <v>1</v>
      </c>
      <c r="Q314" t="n">
        <v>1</v>
      </c>
      <c r="R314" s="2" t="inlineStr">
        <is>
          <t>Mosippa</t>
        </is>
      </c>
      <c r="S314">
        <f>HYPERLINK("https://klasma.github.io/Logging_0512/artfynd/A 42354-2022.xlsx", "A 42354-2022")</f>
        <v/>
      </c>
      <c r="T314">
        <f>HYPERLINK("https://klasma.github.io/Logging_0512/kartor/A 42354-2022.png", "A 42354-2022")</f>
        <v/>
      </c>
      <c r="V314">
        <f>HYPERLINK("https://klasma.github.io/Logging_0512/klagomål/A 42354-2022.docx", "A 42354-2022")</f>
        <v/>
      </c>
      <c r="W314">
        <f>HYPERLINK("https://klasma.github.io/Logging_0512/klagomålsmail/A 42354-2022.docx", "A 42354-2022")</f>
        <v/>
      </c>
      <c r="X314">
        <f>HYPERLINK("https://klasma.github.io/Logging_0512/tillsyn/A 42354-2022.docx", "A 42354-2022")</f>
        <v/>
      </c>
      <c r="Y314">
        <f>HYPERLINK("https://klasma.github.io/Logging_0512/tillsynsmail/A 42354-2022.docx", "A 42354-2022")</f>
        <v/>
      </c>
    </row>
    <row r="315" ht="15" customHeight="1">
      <c r="A315" t="inlineStr">
        <is>
          <t>A 43041-2022</t>
        </is>
      </c>
      <c r="B315" s="1" t="n">
        <v>44833</v>
      </c>
      <c r="C315" s="1" t="n">
        <v>45211</v>
      </c>
      <c r="D315" t="inlineStr">
        <is>
          <t>ÖSTERGÖTLANDS LÄN</t>
        </is>
      </c>
      <c r="E315" t="inlineStr">
        <is>
          <t>LINKÖPING</t>
        </is>
      </c>
      <c r="G315" t="n">
        <v>6.9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1</v>
      </c>
      <c r="R315" s="2" t="inlineStr">
        <is>
          <t>Rödlånke</t>
        </is>
      </c>
      <c r="S315">
        <f>HYPERLINK("https://klasma.github.io/Logging_0580/artfynd/A 43041-2022.xlsx", "A 43041-2022")</f>
        <v/>
      </c>
      <c r="T315">
        <f>HYPERLINK("https://klasma.github.io/Logging_0580/kartor/A 43041-2022.png", "A 43041-2022")</f>
        <v/>
      </c>
      <c r="V315">
        <f>HYPERLINK("https://klasma.github.io/Logging_0580/klagomål/A 43041-2022.docx", "A 43041-2022")</f>
        <v/>
      </c>
      <c r="W315">
        <f>HYPERLINK("https://klasma.github.io/Logging_0580/klagomålsmail/A 43041-2022.docx", "A 43041-2022")</f>
        <v/>
      </c>
      <c r="X315">
        <f>HYPERLINK("https://klasma.github.io/Logging_0580/tillsyn/A 43041-2022.docx", "A 43041-2022")</f>
        <v/>
      </c>
      <c r="Y315">
        <f>HYPERLINK("https://klasma.github.io/Logging_0580/tillsynsmail/A 43041-2022.docx", "A 43041-2022")</f>
        <v/>
      </c>
    </row>
    <row r="316" ht="15" customHeight="1">
      <c r="A316" t="inlineStr">
        <is>
          <t>A 45256-2022</t>
        </is>
      </c>
      <c r="B316" s="1" t="n">
        <v>44840</v>
      </c>
      <c r="C316" s="1" t="n">
        <v>45211</v>
      </c>
      <c r="D316" t="inlineStr">
        <is>
          <t>ÖSTERGÖTLANDS LÄN</t>
        </is>
      </c>
      <c r="E316" t="inlineStr">
        <is>
          <t>FINSPÅNG</t>
        </is>
      </c>
      <c r="G316" t="n">
        <v>2.1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1</v>
      </c>
      <c r="R316" s="2" t="inlineStr">
        <is>
          <t>Stor hagfibbla</t>
        </is>
      </c>
      <c r="S316">
        <f>HYPERLINK("https://klasma.github.io/Logging_0562/artfynd/A 45256-2022.xlsx", "A 45256-2022")</f>
        <v/>
      </c>
      <c r="T316">
        <f>HYPERLINK("https://klasma.github.io/Logging_0562/kartor/A 45256-2022.png", "A 45256-2022")</f>
        <v/>
      </c>
      <c r="V316">
        <f>HYPERLINK("https://klasma.github.io/Logging_0562/klagomål/A 45256-2022.docx", "A 45256-2022")</f>
        <v/>
      </c>
      <c r="W316">
        <f>HYPERLINK("https://klasma.github.io/Logging_0562/klagomålsmail/A 45256-2022.docx", "A 45256-2022")</f>
        <v/>
      </c>
      <c r="X316">
        <f>HYPERLINK("https://klasma.github.io/Logging_0562/tillsyn/A 45256-2022.docx", "A 45256-2022")</f>
        <v/>
      </c>
      <c r="Y316">
        <f>HYPERLINK("https://klasma.github.io/Logging_0562/tillsynsmail/A 45256-2022.docx", "A 45256-2022")</f>
        <v/>
      </c>
    </row>
    <row r="317" ht="15" customHeight="1">
      <c r="A317" t="inlineStr">
        <is>
          <t>A 46180-2022</t>
        </is>
      </c>
      <c r="B317" s="1" t="n">
        <v>44847</v>
      </c>
      <c r="C317" s="1" t="n">
        <v>45211</v>
      </c>
      <c r="D317" t="inlineStr">
        <is>
          <t>ÖSTERGÖTLANDS LÄN</t>
        </is>
      </c>
      <c r="E317" t="inlineStr">
        <is>
          <t>MJÖLBY</t>
        </is>
      </c>
      <c r="F317" t="inlineStr">
        <is>
          <t>Sveaskog</t>
        </is>
      </c>
      <c r="G317" t="n">
        <v>5.4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s="2" t="inlineStr">
        <is>
          <t>Huggorm</t>
        </is>
      </c>
      <c r="S317">
        <f>HYPERLINK("https://klasma.github.io/Logging_0586/artfynd/A 46180-2022.xlsx", "A 46180-2022")</f>
        <v/>
      </c>
      <c r="T317">
        <f>HYPERLINK("https://klasma.github.io/Logging_0586/kartor/A 46180-2022.png", "A 46180-2022")</f>
        <v/>
      </c>
      <c r="V317">
        <f>HYPERLINK("https://klasma.github.io/Logging_0586/klagomål/A 46180-2022.docx", "A 46180-2022")</f>
        <v/>
      </c>
      <c r="W317">
        <f>HYPERLINK("https://klasma.github.io/Logging_0586/klagomålsmail/A 46180-2022.docx", "A 46180-2022")</f>
        <v/>
      </c>
      <c r="X317">
        <f>HYPERLINK("https://klasma.github.io/Logging_0586/tillsyn/A 46180-2022.docx", "A 46180-2022")</f>
        <v/>
      </c>
      <c r="Y317">
        <f>HYPERLINK("https://klasma.github.io/Logging_0586/tillsynsmail/A 46180-2022.docx", "A 46180-2022")</f>
        <v/>
      </c>
    </row>
    <row r="318" ht="15" customHeight="1">
      <c r="A318" t="inlineStr">
        <is>
          <t>A 46496-2022</t>
        </is>
      </c>
      <c r="B318" s="1" t="n">
        <v>44848</v>
      </c>
      <c r="C318" s="1" t="n">
        <v>45211</v>
      </c>
      <c r="D318" t="inlineStr">
        <is>
          <t>ÖSTERGÖTLANDS LÄN</t>
        </is>
      </c>
      <c r="E318" t="inlineStr">
        <is>
          <t>LINKÖPING</t>
        </is>
      </c>
      <c r="G318" t="n">
        <v>1.1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1</v>
      </c>
      <c r="R318" s="2" t="inlineStr">
        <is>
          <t>Bredbrämad bastardsvärmare</t>
        </is>
      </c>
      <c r="S318">
        <f>HYPERLINK("https://klasma.github.io/Logging_0580/artfynd/A 46496-2022.xlsx", "A 46496-2022")</f>
        <v/>
      </c>
      <c r="T318">
        <f>HYPERLINK("https://klasma.github.io/Logging_0580/kartor/A 46496-2022.png", "A 46496-2022")</f>
        <v/>
      </c>
      <c r="V318">
        <f>HYPERLINK("https://klasma.github.io/Logging_0580/klagomål/A 46496-2022.docx", "A 46496-2022")</f>
        <v/>
      </c>
      <c r="W318">
        <f>HYPERLINK("https://klasma.github.io/Logging_0580/klagomålsmail/A 46496-2022.docx", "A 46496-2022")</f>
        <v/>
      </c>
      <c r="X318">
        <f>HYPERLINK("https://klasma.github.io/Logging_0580/tillsyn/A 46496-2022.docx", "A 46496-2022")</f>
        <v/>
      </c>
      <c r="Y318">
        <f>HYPERLINK("https://klasma.github.io/Logging_0580/tillsynsmail/A 46496-2022.docx", "A 46496-2022")</f>
        <v/>
      </c>
    </row>
    <row r="319" ht="15" customHeight="1">
      <c r="A319" t="inlineStr">
        <is>
          <t>A 50403-2022</t>
        </is>
      </c>
      <c r="B319" s="1" t="n">
        <v>44866</v>
      </c>
      <c r="C319" s="1" t="n">
        <v>45211</v>
      </c>
      <c r="D319" t="inlineStr">
        <is>
          <t>ÖSTERGÖTLANDS LÄN</t>
        </is>
      </c>
      <c r="E319" t="inlineStr">
        <is>
          <t>MJÖLBY</t>
        </is>
      </c>
      <c r="F319" t="inlineStr">
        <is>
          <t>Sveaskog</t>
        </is>
      </c>
      <c r="G319" t="n">
        <v>2.4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s="2" t="inlineStr">
        <is>
          <t>Springkorn</t>
        </is>
      </c>
      <c r="S319">
        <f>HYPERLINK("https://klasma.github.io/Logging_0586/artfynd/A 50403-2022.xlsx", "A 50403-2022")</f>
        <v/>
      </c>
      <c r="T319">
        <f>HYPERLINK("https://klasma.github.io/Logging_0586/kartor/A 50403-2022.png", "A 50403-2022")</f>
        <v/>
      </c>
      <c r="V319">
        <f>HYPERLINK("https://klasma.github.io/Logging_0586/klagomål/A 50403-2022.docx", "A 50403-2022")</f>
        <v/>
      </c>
      <c r="W319">
        <f>HYPERLINK("https://klasma.github.io/Logging_0586/klagomålsmail/A 50403-2022.docx", "A 50403-2022")</f>
        <v/>
      </c>
      <c r="X319">
        <f>HYPERLINK("https://klasma.github.io/Logging_0586/tillsyn/A 50403-2022.docx", "A 50403-2022")</f>
        <v/>
      </c>
      <c r="Y319">
        <f>HYPERLINK("https://klasma.github.io/Logging_0586/tillsynsmail/A 50403-2022.docx", "A 50403-2022")</f>
        <v/>
      </c>
    </row>
    <row r="320" ht="15" customHeight="1">
      <c r="A320" t="inlineStr">
        <is>
          <t>A 50514-2022</t>
        </is>
      </c>
      <c r="B320" s="1" t="n">
        <v>44866</v>
      </c>
      <c r="C320" s="1" t="n">
        <v>45211</v>
      </c>
      <c r="D320" t="inlineStr">
        <is>
          <t>ÖSTERGÖTLANDS LÄN</t>
        </is>
      </c>
      <c r="E320" t="inlineStr">
        <is>
          <t>KINDA</t>
        </is>
      </c>
      <c r="F320" t="inlineStr">
        <is>
          <t>Sveaskog</t>
        </is>
      </c>
      <c r="G320" t="n">
        <v>4.1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s="2" t="inlineStr">
        <is>
          <t>Svart trolldruva</t>
        </is>
      </c>
      <c r="S320">
        <f>HYPERLINK("https://klasma.github.io/Logging_0513/artfynd/A 50514-2022.xlsx", "A 50514-2022")</f>
        <v/>
      </c>
      <c r="T320">
        <f>HYPERLINK("https://klasma.github.io/Logging_0513/kartor/A 50514-2022.png", "A 50514-2022")</f>
        <v/>
      </c>
      <c r="V320">
        <f>HYPERLINK("https://klasma.github.io/Logging_0513/klagomål/A 50514-2022.docx", "A 50514-2022")</f>
        <v/>
      </c>
      <c r="W320">
        <f>HYPERLINK("https://klasma.github.io/Logging_0513/klagomålsmail/A 50514-2022.docx", "A 50514-2022")</f>
        <v/>
      </c>
      <c r="X320">
        <f>HYPERLINK("https://klasma.github.io/Logging_0513/tillsyn/A 50514-2022.docx", "A 50514-2022")</f>
        <v/>
      </c>
      <c r="Y320">
        <f>HYPERLINK("https://klasma.github.io/Logging_0513/tillsynsmail/A 50514-2022.docx", "A 50514-2022")</f>
        <v/>
      </c>
    </row>
    <row r="321" ht="15" customHeight="1">
      <c r="A321" t="inlineStr">
        <is>
          <t>A 51149-2022</t>
        </is>
      </c>
      <c r="B321" s="1" t="n">
        <v>44868</v>
      </c>
      <c r="C321" s="1" t="n">
        <v>45211</v>
      </c>
      <c r="D321" t="inlineStr">
        <is>
          <t>ÖSTERGÖTLANDS LÄN</t>
        </is>
      </c>
      <c r="E321" t="inlineStr">
        <is>
          <t>BOXHOLM</t>
        </is>
      </c>
      <c r="F321" t="inlineStr">
        <is>
          <t>Övriga Aktiebolag</t>
        </is>
      </c>
      <c r="G321" t="n">
        <v>5.8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1</v>
      </c>
      <c r="R321" s="2" t="inlineStr">
        <is>
          <t>Lunglav</t>
        </is>
      </c>
      <c r="S321">
        <f>HYPERLINK("https://klasma.github.io/Logging_0560/artfynd/A 51149-2022.xlsx", "A 51149-2022")</f>
        <v/>
      </c>
      <c r="T321">
        <f>HYPERLINK("https://klasma.github.io/Logging_0560/kartor/A 51149-2022.png", "A 51149-2022")</f>
        <v/>
      </c>
      <c r="V321">
        <f>HYPERLINK("https://klasma.github.io/Logging_0560/klagomål/A 51149-2022.docx", "A 51149-2022")</f>
        <v/>
      </c>
      <c r="W321">
        <f>HYPERLINK("https://klasma.github.io/Logging_0560/klagomålsmail/A 51149-2022.docx", "A 51149-2022")</f>
        <v/>
      </c>
      <c r="X321">
        <f>HYPERLINK("https://klasma.github.io/Logging_0560/tillsyn/A 51149-2022.docx", "A 51149-2022")</f>
        <v/>
      </c>
      <c r="Y321">
        <f>HYPERLINK("https://klasma.github.io/Logging_0560/tillsynsmail/A 51149-2022.docx", "A 51149-2022")</f>
        <v/>
      </c>
    </row>
    <row r="322" ht="15" customHeight="1">
      <c r="A322" t="inlineStr">
        <is>
          <t>A 52667-2022</t>
        </is>
      </c>
      <c r="B322" s="1" t="n">
        <v>44874</v>
      </c>
      <c r="C322" s="1" t="n">
        <v>45211</v>
      </c>
      <c r="D322" t="inlineStr">
        <is>
          <t>ÖSTERGÖTLANDS LÄN</t>
        </is>
      </c>
      <c r="E322" t="inlineStr">
        <is>
          <t>YDRE</t>
        </is>
      </c>
      <c r="G322" t="n">
        <v>1.2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s="2" t="inlineStr">
        <is>
          <t>Mattlummer</t>
        </is>
      </c>
      <c r="S322">
        <f>HYPERLINK("https://klasma.github.io/Logging_0512/artfynd/A 52667-2022.xlsx", "A 52667-2022")</f>
        <v/>
      </c>
      <c r="T322">
        <f>HYPERLINK("https://klasma.github.io/Logging_0512/kartor/A 52667-2022.png", "A 52667-2022")</f>
        <v/>
      </c>
      <c r="V322">
        <f>HYPERLINK("https://klasma.github.io/Logging_0512/klagomål/A 52667-2022.docx", "A 52667-2022")</f>
        <v/>
      </c>
      <c r="W322">
        <f>HYPERLINK("https://klasma.github.io/Logging_0512/klagomålsmail/A 52667-2022.docx", "A 52667-2022")</f>
        <v/>
      </c>
      <c r="X322">
        <f>HYPERLINK("https://klasma.github.io/Logging_0512/tillsyn/A 52667-2022.docx", "A 52667-2022")</f>
        <v/>
      </c>
      <c r="Y322">
        <f>HYPERLINK("https://klasma.github.io/Logging_0512/tillsynsmail/A 52667-2022.docx", "A 52667-2022")</f>
        <v/>
      </c>
    </row>
    <row r="323" ht="15" customHeight="1">
      <c r="A323" t="inlineStr">
        <is>
          <t>A 53186-2022</t>
        </is>
      </c>
      <c r="B323" s="1" t="n">
        <v>44874</v>
      </c>
      <c r="C323" s="1" t="n">
        <v>45211</v>
      </c>
      <c r="D323" t="inlineStr">
        <is>
          <t>ÖSTERGÖTLANDS LÄN</t>
        </is>
      </c>
      <c r="E323" t="inlineStr">
        <is>
          <t>ÅTVIDABERG</t>
        </is>
      </c>
      <c r="F323" t="inlineStr">
        <is>
          <t>Övriga Aktiebolag</t>
        </is>
      </c>
      <c r="G323" t="n">
        <v>6</v>
      </c>
      <c r="H323" t="n">
        <v>1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1</v>
      </c>
      <c r="R323" s="2" t="inlineStr">
        <is>
          <t>Havsörn</t>
        </is>
      </c>
      <c r="S323">
        <f>HYPERLINK("https://klasma.github.io/Logging_0561/artfynd/A 53186-2022.xlsx", "A 53186-2022")</f>
        <v/>
      </c>
      <c r="T323">
        <f>HYPERLINK("https://klasma.github.io/Logging_0561/kartor/A 53186-2022.png", "A 53186-2022")</f>
        <v/>
      </c>
      <c r="V323">
        <f>HYPERLINK("https://klasma.github.io/Logging_0561/klagomål/A 53186-2022.docx", "A 53186-2022")</f>
        <v/>
      </c>
      <c r="W323">
        <f>HYPERLINK("https://klasma.github.io/Logging_0561/klagomålsmail/A 53186-2022.docx", "A 53186-2022")</f>
        <v/>
      </c>
      <c r="X323">
        <f>HYPERLINK("https://klasma.github.io/Logging_0561/tillsyn/A 53186-2022.docx", "A 53186-2022")</f>
        <v/>
      </c>
      <c r="Y323">
        <f>HYPERLINK("https://klasma.github.io/Logging_0561/tillsynsmail/A 53186-2022.docx", "A 53186-2022")</f>
        <v/>
      </c>
    </row>
    <row r="324" ht="15" customHeight="1">
      <c r="A324" t="inlineStr">
        <is>
          <t>A 54954-2022</t>
        </is>
      </c>
      <c r="B324" s="1" t="n">
        <v>44881</v>
      </c>
      <c r="C324" s="1" t="n">
        <v>45211</v>
      </c>
      <c r="D324" t="inlineStr">
        <is>
          <t>ÖSTERGÖTLANDS LÄN</t>
        </is>
      </c>
      <c r="E324" t="inlineStr">
        <is>
          <t>FINSPÅNG</t>
        </is>
      </c>
      <c r="F324" t="inlineStr">
        <is>
          <t>Övriga Aktiebolag</t>
        </is>
      </c>
      <c r="G324" t="n">
        <v>5.4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1</v>
      </c>
      <c r="R324" s="2" t="inlineStr">
        <is>
          <t>Gullklöver</t>
        </is>
      </c>
      <c r="S324">
        <f>HYPERLINK("https://klasma.github.io/Logging_0562/artfynd/A 54954-2022.xlsx", "A 54954-2022")</f>
        <v/>
      </c>
      <c r="T324">
        <f>HYPERLINK("https://klasma.github.io/Logging_0562/kartor/A 54954-2022.png", "A 54954-2022")</f>
        <v/>
      </c>
      <c r="V324">
        <f>HYPERLINK("https://klasma.github.io/Logging_0562/klagomål/A 54954-2022.docx", "A 54954-2022")</f>
        <v/>
      </c>
      <c r="W324">
        <f>HYPERLINK("https://klasma.github.io/Logging_0562/klagomålsmail/A 54954-2022.docx", "A 54954-2022")</f>
        <v/>
      </c>
      <c r="X324">
        <f>HYPERLINK("https://klasma.github.io/Logging_0562/tillsyn/A 54954-2022.docx", "A 54954-2022")</f>
        <v/>
      </c>
      <c r="Y324">
        <f>HYPERLINK("https://klasma.github.io/Logging_0562/tillsynsmail/A 54954-2022.docx", "A 54954-2022")</f>
        <v/>
      </c>
    </row>
    <row r="325" ht="15" customHeight="1">
      <c r="A325" t="inlineStr">
        <is>
          <t>A 54788-2022</t>
        </is>
      </c>
      <c r="B325" s="1" t="n">
        <v>44883</v>
      </c>
      <c r="C325" s="1" t="n">
        <v>45211</v>
      </c>
      <c r="D325" t="inlineStr">
        <is>
          <t>ÖSTERGÖTLANDS LÄN</t>
        </is>
      </c>
      <c r="E325" t="inlineStr">
        <is>
          <t>VALDEMARSVIK</t>
        </is>
      </c>
      <c r="G325" t="n">
        <v>2.2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1</v>
      </c>
      <c r="R325" s="2" t="inlineStr">
        <is>
          <t>Tallticka</t>
        </is>
      </c>
      <c r="S325">
        <f>HYPERLINK("https://klasma.github.io/Logging_0563/artfynd/A 54788-2022.xlsx", "A 54788-2022")</f>
        <v/>
      </c>
      <c r="T325">
        <f>HYPERLINK("https://klasma.github.io/Logging_0563/kartor/A 54788-2022.png", "A 54788-2022")</f>
        <v/>
      </c>
      <c r="V325">
        <f>HYPERLINK("https://klasma.github.io/Logging_0563/klagomål/A 54788-2022.docx", "A 54788-2022")</f>
        <v/>
      </c>
      <c r="W325">
        <f>HYPERLINK("https://klasma.github.io/Logging_0563/klagomålsmail/A 54788-2022.docx", "A 54788-2022")</f>
        <v/>
      </c>
      <c r="X325">
        <f>HYPERLINK("https://klasma.github.io/Logging_0563/tillsyn/A 54788-2022.docx", "A 54788-2022")</f>
        <v/>
      </c>
      <c r="Y325">
        <f>HYPERLINK("https://klasma.github.io/Logging_0563/tillsynsmail/A 54788-2022.docx", "A 54788-2022")</f>
        <v/>
      </c>
    </row>
    <row r="326" ht="15" customHeight="1">
      <c r="A326" t="inlineStr">
        <is>
          <t>A 54785-2022</t>
        </is>
      </c>
      <c r="B326" s="1" t="n">
        <v>44883</v>
      </c>
      <c r="C326" s="1" t="n">
        <v>45211</v>
      </c>
      <c r="D326" t="inlineStr">
        <is>
          <t>ÖSTERGÖTLANDS LÄN</t>
        </is>
      </c>
      <c r="E326" t="inlineStr">
        <is>
          <t>VALDEMARSVIK</t>
        </is>
      </c>
      <c r="G326" t="n">
        <v>8.5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1</v>
      </c>
      <c r="R326" s="2" t="inlineStr">
        <is>
          <t>Talltita</t>
        </is>
      </c>
      <c r="S326">
        <f>HYPERLINK("https://klasma.github.io/Logging_0563/artfynd/A 54785-2022.xlsx", "A 54785-2022")</f>
        <v/>
      </c>
      <c r="T326">
        <f>HYPERLINK("https://klasma.github.io/Logging_0563/kartor/A 54785-2022.png", "A 54785-2022")</f>
        <v/>
      </c>
      <c r="V326">
        <f>HYPERLINK("https://klasma.github.io/Logging_0563/klagomål/A 54785-2022.docx", "A 54785-2022")</f>
        <v/>
      </c>
      <c r="W326">
        <f>HYPERLINK("https://klasma.github.io/Logging_0563/klagomålsmail/A 54785-2022.docx", "A 54785-2022")</f>
        <v/>
      </c>
      <c r="X326">
        <f>HYPERLINK("https://klasma.github.io/Logging_0563/tillsyn/A 54785-2022.docx", "A 54785-2022")</f>
        <v/>
      </c>
      <c r="Y326">
        <f>HYPERLINK("https://klasma.github.io/Logging_0563/tillsynsmail/A 54785-2022.docx", "A 54785-2022")</f>
        <v/>
      </c>
    </row>
    <row r="327" ht="15" customHeight="1">
      <c r="A327" t="inlineStr">
        <is>
          <t>A 56128-2022</t>
        </is>
      </c>
      <c r="B327" s="1" t="n">
        <v>44889</v>
      </c>
      <c r="C327" s="1" t="n">
        <v>45211</v>
      </c>
      <c r="D327" t="inlineStr">
        <is>
          <t>ÖSTERGÖTLANDS LÄN</t>
        </is>
      </c>
      <c r="E327" t="inlineStr">
        <is>
          <t>LINKÖPING</t>
        </is>
      </c>
      <c r="G327" t="n">
        <v>2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s="2" t="inlineStr">
        <is>
          <t>Tibast</t>
        </is>
      </c>
      <c r="S327">
        <f>HYPERLINK("https://klasma.github.io/Logging_0580/artfynd/A 56128-2022.xlsx", "A 56128-2022")</f>
        <v/>
      </c>
      <c r="T327">
        <f>HYPERLINK("https://klasma.github.io/Logging_0580/kartor/A 56128-2022.png", "A 56128-2022")</f>
        <v/>
      </c>
      <c r="V327">
        <f>HYPERLINK("https://klasma.github.io/Logging_0580/klagomål/A 56128-2022.docx", "A 56128-2022")</f>
        <v/>
      </c>
      <c r="W327">
        <f>HYPERLINK("https://klasma.github.io/Logging_0580/klagomålsmail/A 56128-2022.docx", "A 56128-2022")</f>
        <v/>
      </c>
      <c r="X327">
        <f>HYPERLINK("https://klasma.github.io/Logging_0580/tillsyn/A 56128-2022.docx", "A 56128-2022")</f>
        <v/>
      </c>
      <c r="Y327">
        <f>HYPERLINK("https://klasma.github.io/Logging_0580/tillsynsmail/A 56128-2022.docx", "A 56128-2022")</f>
        <v/>
      </c>
    </row>
    <row r="328" ht="15" customHeight="1">
      <c r="A328" t="inlineStr">
        <is>
          <t>A 59418-2022</t>
        </is>
      </c>
      <c r="B328" s="1" t="n">
        <v>44907</v>
      </c>
      <c r="C328" s="1" t="n">
        <v>45211</v>
      </c>
      <c r="D328" t="inlineStr">
        <is>
          <t>ÖSTERGÖTLANDS LÄN</t>
        </is>
      </c>
      <c r="E328" t="inlineStr">
        <is>
          <t>BOXHOLM</t>
        </is>
      </c>
      <c r="F328" t="inlineStr">
        <is>
          <t>Övriga Aktiebolag</t>
        </is>
      </c>
      <c r="G328" t="n">
        <v>6.5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1</v>
      </c>
      <c r="P328" t="n">
        <v>1</v>
      </c>
      <c r="Q328" t="n">
        <v>1</v>
      </c>
      <c r="R328" s="2" t="inlineStr">
        <is>
          <t>Skogsalm</t>
        </is>
      </c>
      <c r="S328">
        <f>HYPERLINK("https://klasma.github.io/Logging_0560/artfynd/A 59418-2022.xlsx", "A 59418-2022")</f>
        <v/>
      </c>
      <c r="T328">
        <f>HYPERLINK("https://klasma.github.io/Logging_0560/kartor/A 59418-2022.png", "A 59418-2022")</f>
        <v/>
      </c>
      <c r="V328">
        <f>HYPERLINK("https://klasma.github.io/Logging_0560/klagomål/A 59418-2022.docx", "A 59418-2022")</f>
        <v/>
      </c>
      <c r="W328">
        <f>HYPERLINK("https://klasma.github.io/Logging_0560/klagomålsmail/A 59418-2022.docx", "A 59418-2022")</f>
        <v/>
      </c>
      <c r="X328">
        <f>HYPERLINK("https://klasma.github.io/Logging_0560/tillsyn/A 59418-2022.docx", "A 59418-2022")</f>
        <v/>
      </c>
      <c r="Y328">
        <f>HYPERLINK("https://klasma.github.io/Logging_0560/tillsynsmail/A 59418-2022.docx", "A 59418-2022")</f>
        <v/>
      </c>
    </row>
    <row r="329" ht="15" customHeight="1">
      <c r="A329" t="inlineStr">
        <is>
          <t>A 61104-2022</t>
        </is>
      </c>
      <c r="B329" s="1" t="n">
        <v>44915</v>
      </c>
      <c r="C329" s="1" t="n">
        <v>45211</v>
      </c>
      <c r="D329" t="inlineStr">
        <is>
          <t>ÖSTERGÖTLANDS LÄN</t>
        </is>
      </c>
      <c r="E329" t="inlineStr">
        <is>
          <t>FINSPÅNG</t>
        </is>
      </c>
      <c r="F329" t="inlineStr">
        <is>
          <t>Holmen skog AB</t>
        </is>
      </c>
      <c r="G329" t="n">
        <v>3.4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1</v>
      </c>
      <c r="R329" s="2" t="inlineStr">
        <is>
          <t>Tallticka</t>
        </is>
      </c>
      <c r="S329">
        <f>HYPERLINK("https://klasma.github.io/Logging_0562/artfynd/A 61104-2022.xlsx", "A 61104-2022")</f>
        <v/>
      </c>
      <c r="T329">
        <f>HYPERLINK("https://klasma.github.io/Logging_0562/kartor/A 61104-2022.png", "A 61104-2022")</f>
        <v/>
      </c>
      <c r="V329">
        <f>HYPERLINK("https://klasma.github.io/Logging_0562/klagomål/A 61104-2022.docx", "A 61104-2022")</f>
        <v/>
      </c>
      <c r="W329">
        <f>HYPERLINK("https://klasma.github.io/Logging_0562/klagomålsmail/A 61104-2022.docx", "A 61104-2022")</f>
        <v/>
      </c>
      <c r="X329">
        <f>HYPERLINK("https://klasma.github.io/Logging_0562/tillsyn/A 61104-2022.docx", "A 61104-2022")</f>
        <v/>
      </c>
      <c r="Y329">
        <f>HYPERLINK("https://klasma.github.io/Logging_0562/tillsynsmail/A 61104-2022.docx", "A 61104-2022")</f>
        <v/>
      </c>
    </row>
    <row r="330" ht="15" customHeight="1">
      <c r="A330" t="inlineStr">
        <is>
          <t>A 663-2023</t>
        </is>
      </c>
      <c r="B330" s="1" t="n">
        <v>44930</v>
      </c>
      <c r="C330" s="1" t="n">
        <v>45211</v>
      </c>
      <c r="D330" t="inlineStr">
        <is>
          <t>ÖSTERGÖTLANDS LÄN</t>
        </is>
      </c>
      <c r="E330" t="inlineStr">
        <is>
          <t>FINSPÅNG</t>
        </is>
      </c>
      <c r="F330" t="inlineStr">
        <is>
          <t>Holmen skog AB</t>
        </is>
      </c>
      <c r="G330" t="n">
        <v>1.2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s="2" t="inlineStr">
        <is>
          <t>Blåsippa</t>
        </is>
      </c>
      <c r="S330">
        <f>HYPERLINK("https://klasma.github.io/Logging_0562/artfynd/A 663-2023.xlsx", "A 663-2023")</f>
        <v/>
      </c>
      <c r="T330">
        <f>HYPERLINK("https://klasma.github.io/Logging_0562/kartor/A 663-2023.png", "A 663-2023")</f>
        <v/>
      </c>
      <c r="V330">
        <f>HYPERLINK("https://klasma.github.io/Logging_0562/klagomål/A 663-2023.docx", "A 663-2023")</f>
        <v/>
      </c>
      <c r="W330">
        <f>HYPERLINK("https://klasma.github.io/Logging_0562/klagomålsmail/A 663-2023.docx", "A 663-2023")</f>
        <v/>
      </c>
      <c r="X330">
        <f>HYPERLINK("https://klasma.github.io/Logging_0562/tillsyn/A 663-2023.docx", "A 663-2023")</f>
        <v/>
      </c>
      <c r="Y330">
        <f>HYPERLINK("https://klasma.github.io/Logging_0562/tillsynsmail/A 663-2023.docx", "A 663-2023")</f>
        <v/>
      </c>
    </row>
    <row r="331" ht="15" customHeight="1">
      <c r="A331" t="inlineStr">
        <is>
          <t>A 1213-2023</t>
        </is>
      </c>
      <c r="B331" s="1" t="n">
        <v>44930</v>
      </c>
      <c r="C331" s="1" t="n">
        <v>45211</v>
      </c>
      <c r="D331" t="inlineStr">
        <is>
          <t>ÖSTERGÖTLANDS LÄN</t>
        </is>
      </c>
      <c r="E331" t="inlineStr">
        <is>
          <t>LINKÖPING</t>
        </is>
      </c>
      <c r="F331" t="inlineStr">
        <is>
          <t>Övriga statliga verk och myndigheter</t>
        </is>
      </c>
      <c r="G331" t="n">
        <v>17.8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s="2" t="inlineStr">
        <is>
          <t>Stubbspretmossa</t>
        </is>
      </c>
      <c r="S331">
        <f>HYPERLINK("https://klasma.github.io/Logging_0580/artfynd/A 1213-2023.xlsx", "A 1213-2023")</f>
        <v/>
      </c>
      <c r="T331">
        <f>HYPERLINK("https://klasma.github.io/Logging_0580/kartor/A 1213-2023.png", "A 1213-2023")</f>
        <v/>
      </c>
      <c r="V331">
        <f>HYPERLINK("https://klasma.github.io/Logging_0580/klagomål/A 1213-2023.docx", "A 1213-2023")</f>
        <v/>
      </c>
      <c r="W331">
        <f>HYPERLINK("https://klasma.github.io/Logging_0580/klagomålsmail/A 1213-2023.docx", "A 1213-2023")</f>
        <v/>
      </c>
      <c r="X331">
        <f>HYPERLINK("https://klasma.github.io/Logging_0580/tillsyn/A 1213-2023.docx", "A 1213-2023")</f>
        <v/>
      </c>
      <c r="Y331">
        <f>HYPERLINK("https://klasma.github.io/Logging_0580/tillsynsmail/A 1213-2023.docx", "A 1213-2023")</f>
        <v/>
      </c>
    </row>
    <row r="332" ht="15" customHeight="1">
      <c r="A332" t="inlineStr">
        <is>
          <t>A 1716-2023</t>
        </is>
      </c>
      <c r="B332" s="1" t="n">
        <v>44938</v>
      </c>
      <c r="C332" s="1" t="n">
        <v>45211</v>
      </c>
      <c r="D332" t="inlineStr">
        <is>
          <t>ÖSTERGÖTLANDS LÄN</t>
        </is>
      </c>
      <c r="E332" t="inlineStr">
        <is>
          <t>LINKÖPING</t>
        </is>
      </c>
      <c r="G332" t="n">
        <v>3.6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1</v>
      </c>
      <c r="R332" s="2" t="inlineStr">
        <is>
          <t>Svinrot</t>
        </is>
      </c>
      <c r="S332">
        <f>HYPERLINK("https://klasma.github.io/Logging_0580/artfynd/A 1716-2023.xlsx", "A 1716-2023")</f>
        <v/>
      </c>
      <c r="T332">
        <f>HYPERLINK("https://klasma.github.io/Logging_0580/kartor/A 1716-2023.png", "A 1716-2023")</f>
        <v/>
      </c>
      <c r="V332">
        <f>HYPERLINK("https://klasma.github.io/Logging_0580/klagomål/A 1716-2023.docx", "A 1716-2023")</f>
        <v/>
      </c>
      <c r="W332">
        <f>HYPERLINK("https://klasma.github.io/Logging_0580/klagomålsmail/A 1716-2023.docx", "A 1716-2023")</f>
        <v/>
      </c>
      <c r="X332">
        <f>HYPERLINK("https://klasma.github.io/Logging_0580/tillsyn/A 1716-2023.docx", "A 1716-2023")</f>
        <v/>
      </c>
      <c r="Y332">
        <f>HYPERLINK("https://klasma.github.io/Logging_0580/tillsynsmail/A 1716-2023.docx", "A 1716-2023")</f>
        <v/>
      </c>
    </row>
    <row r="333" ht="15" customHeight="1">
      <c r="A333" t="inlineStr">
        <is>
          <t>A 3096-2023</t>
        </is>
      </c>
      <c r="B333" s="1" t="n">
        <v>44946</v>
      </c>
      <c r="C333" s="1" t="n">
        <v>45211</v>
      </c>
      <c r="D333" t="inlineStr">
        <is>
          <t>ÖSTERGÖTLANDS LÄN</t>
        </is>
      </c>
      <c r="E333" t="inlineStr">
        <is>
          <t>FINSPÅNG</t>
        </is>
      </c>
      <c r="F333" t="inlineStr">
        <is>
          <t>Holmen skog AB</t>
        </is>
      </c>
      <c r="G333" t="n">
        <v>0.8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1</v>
      </c>
      <c r="R333" s="2" t="inlineStr">
        <is>
          <t>Guldsandbi</t>
        </is>
      </c>
      <c r="S333">
        <f>HYPERLINK("https://klasma.github.io/Logging_0562/artfynd/A 3096-2023.xlsx", "A 3096-2023")</f>
        <v/>
      </c>
      <c r="T333">
        <f>HYPERLINK("https://klasma.github.io/Logging_0562/kartor/A 3096-2023.png", "A 3096-2023")</f>
        <v/>
      </c>
      <c r="V333">
        <f>HYPERLINK("https://klasma.github.io/Logging_0562/klagomål/A 3096-2023.docx", "A 3096-2023")</f>
        <v/>
      </c>
      <c r="W333">
        <f>HYPERLINK("https://klasma.github.io/Logging_0562/klagomålsmail/A 3096-2023.docx", "A 3096-2023")</f>
        <v/>
      </c>
      <c r="X333">
        <f>HYPERLINK("https://klasma.github.io/Logging_0562/tillsyn/A 3096-2023.docx", "A 3096-2023")</f>
        <v/>
      </c>
      <c r="Y333">
        <f>HYPERLINK("https://klasma.github.io/Logging_0562/tillsynsmail/A 3096-2023.docx", "A 3096-2023")</f>
        <v/>
      </c>
    </row>
    <row r="334" ht="15" customHeight="1">
      <c r="A334" t="inlineStr">
        <is>
          <t>A 3088-2023</t>
        </is>
      </c>
      <c r="B334" s="1" t="n">
        <v>44946</v>
      </c>
      <c r="C334" s="1" t="n">
        <v>45211</v>
      </c>
      <c r="D334" t="inlineStr">
        <is>
          <t>ÖSTERGÖTLANDS LÄN</t>
        </is>
      </c>
      <c r="E334" t="inlineStr">
        <is>
          <t>FINSPÅNG</t>
        </is>
      </c>
      <c r="F334" t="inlineStr">
        <is>
          <t>Holmen skog AB</t>
        </is>
      </c>
      <c r="G334" t="n">
        <v>0.9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1</v>
      </c>
      <c r="R334" s="2" t="inlineStr">
        <is>
          <t>Guldsandbi</t>
        </is>
      </c>
      <c r="S334">
        <f>HYPERLINK("https://klasma.github.io/Logging_0562/artfynd/A 3088-2023.xlsx", "A 3088-2023")</f>
        <v/>
      </c>
      <c r="T334">
        <f>HYPERLINK("https://klasma.github.io/Logging_0562/kartor/A 3088-2023.png", "A 3088-2023")</f>
        <v/>
      </c>
      <c r="V334">
        <f>HYPERLINK("https://klasma.github.io/Logging_0562/klagomål/A 3088-2023.docx", "A 3088-2023")</f>
        <v/>
      </c>
      <c r="W334">
        <f>HYPERLINK("https://klasma.github.io/Logging_0562/klagomålsmail/A 3088-2023.docx", "A 3088-2023")</f>
        <v/>
      </c>
      <c r="X334">
        <f>HYPERLINK("https://klasma.github.io/Logging_0562/tillsyn/A 3088-2023.docx", "A 3088-2023")</f>
        <v/>
      </c>
      <c r="Y334">
        <f>HYPERLINK("https://klasma.github.io/Logging_0562/tillsynsmail/A 3088-2023.docx", "A 3088-2023")</f>
        <v/>
      </c>
    </row>
    <row r="335" ht="15" customHeight="1">
      <c r="A335" t="inlineStr">
        <is>
          <t>A 3397-2023</t>
        </is>
      </c>
      <c r="B335" s="1" t="n">
        <v>44949</v>
      </c>
      <c r="C335" s="1" t="n">
        <v>45211</v>
      </c>
      <c r="D335" t="inlineStr">
        <is>
          <t>ÖSTERGÖTLANDS LÄN</t>
        </is>
      </c>
      <c r="E335" t="inlineStr">
        <is>
          <t>LINKÖPING</t>
        </is>
      </c>
      <c r="G335" t="n">
        <v>4.1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1</v>
      </c>
      <c r="R335" s="2" t="inlineStr">
        <is>
          <t>Svinrot</t>
        </is>
      </c>
      <c r="S335">
        <f>HYPERLINK("https://klasma.github.io/Logging_0580/artfynd/A 3397-2023.xlsx", "A 3397-2023")</f>
        <v/>
      </c>
      <c r="T335">
        <f>HYPERLINK("https://klasma.github.io/Logging_0580/kartor/A 3397-2023.png", "A 3397-2023")</f>
        <v/>
      </c>
      <c r="V335">
        <f>HYPERLINK("https://klasma.github.io/Logging_0580/klagomål/A 3397-2023.docx", "A 3397-2023")</f>
        <v/>
      </c>
      <c r="W335">
        <f>HYPERLINK("https://klasma.github.io/Logging_0580/klagomålsmail/A 3397-2023.docx", "A 3397-2023")</f>
        <v/>
      </c>
      <c r="X335">
        <f>HYPERLINK("https://klasma.github.io/Logging_0580/tillsyn/A 3397-2023.docx", "A 3397-2023")</f>
        <v/>
      </c>
      <c r="Y335">
        <f>HYPERLINK("https://klasma.github.io/Logging_0580/tillsynsmail/A 3397-2023.docx", "A 3397-2023")</f>
        <v/>
      </c>
    </row>
    <row r="336" ht="15" customHeight="1">
      <c r="A336" t="inlineStr">
        <is>
          <t>A 4051-2023</t>
        </is>
      </c>
      <c r="B336" s="1" t="n">
        <v>44952</v>
      </c>
      <c r="C336" s="1" t="n">
        <v>45211</v>
      </c>
      <c r="D336" t="inlineStr">
        <is>
          <t>ÖSTERGÖTLANDS LÄN</t>
        </is>
      </c>
      <c r="E336" t="inlineStr">
        <is>
          <t>VALDEMARSVIK</t>
        </is>
      </c>
      <c r="G336" t="n">
        <v>2.5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1</v>
      </c>
      <c r="R336" s="2" t="inlineStr">
        <is>
          <t>Skogsklocka</t>
        </is>
      </c>
      <c r="S336">
        <f>HYPERLINK("https://klasma.github.io/Logging_0563/artfynd/A 4051-2023.xlsx", "A 4051-2023")</f>
        <v/>
      </c>
      <c r="T336">
        <f>HYPERLINK("https://klasma.github.io/Logging_0563/kartor/A 4051-2023.png", "A 4051-2023")</f>
        <v/>
      </c>
      <c r="V336">
        <f>HYPERLINK("https://klasma.github.io/Logging_0563/klagomål/A 4051-2023.docx", "A 4051-2023")</f>
        <v/>
      </c>
      <c r="W336">
        <f>HYPERLINK("https://klasma.github.io/Logging_0563/klagomålsmail/A 4051-2023.docx", "A 4051-2023")</f>
        <v/>
      </c>
      <c r="X336">
        <f>HYPERLINK("https://klasma.github.io/Logging_0563/tillsyn/A 4051-2023.docx", "A 4051-2023")</f>
        <v/>
      </c>
      <c r="Y336">
        <f>HYPERLINK("https://klasma.github.io/Logging_0563/tillsynsmail/A 4051-2023.docx", "A 4051-2023")</f>
        <v/>
      </c>
    </row>
    <row r="337" ht="15" customHeight="1">
      <c r="A337" t="inlineStr">
        <is>
          <t>A 4764-2023</t>
        </is>
      </c>
      <c r="B337" s="1" t="n">
        <v>44957</v>
      </c>
      <c r="C337" s="1" t="n">
        <v>45211</v>
      </c>
      <c r="D337" t="inlineStr">
        <is>
          <t>ÖSTERGÖTLANDS LÄN</t>
        </is>
      </c>
      <c r="E337" t="inlineStr">
        <is>
          <t>LINKÖPING</t>
        </is>
      </c>
      <c r="G337" t="n">
        <v>2.8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1</v>
      </c>
      <c r="R337" s="2" t="inlineStr">
        <is>
          <t>Motaggsvamp</t>
        </is>
      </c>
      <c r="S337">
        <f>HYPERLINK("https://klasma.github.io/Logging_0580/artfynd/A 4764-2023.xlsx", "A 4764-2023")</f>
        <v/>
      </c>
      <c r="T337">
        <f>HYPERLINK("https://klasma.github.io/Logging_0580/kartor/A 4764-2023.png", "A 4764-2023")</f>
        <v/>
      </c>
      <c r="V337">
        <f>HYPERLINK("https://klasma.github.io/Logging_0580/klagomål/A 4764-2023.docx", "A 4764-2023")</f>
        <v/>
      </c>
      <c r="W337">
        <f>HYPERLINK("https://klasma.github.io/Logging_0580/klagomålsmail/A 4764-2023.docx", "A 4764-2023")</f>
        <v/>
      </c>
      <c r="X337">
        <f>HYPERLINK("https://klasma.github.io/Logging_0580/tillsyn/A 4764-2023.docx", "A 4764-2023")</f>
        <v/>
      </c>
      <c r="Y337">
        <f>HYPERLINK("https://klasma.github.io/Logging_0580/tillsynsmail/A 4764-2023.docx", "A 4764-2023")</f>
        <v/>
      </c>
    </row>
    <row r="338" ht="15" customHeight="1">
      <c r="A338" t="inlineStr">
        <is>
          <t>A 5668-2023</t>
        </is>
      </c>
      <c r="B338" s="1" t="n">
        <v>44960</v>
      </c>
      <c r="C338" s="1" t="n">
        <v>45211</v>
      </c>
      <c r="D338" t="inlineStr">
        <is>
          <t>ÖSTERGÖTLANDS LÄN</t>
        </is>
      </c>
      <c r="E338" t="inlineStr">
        <is>
          <t>KINDA</t>
        </is>
      </c>
      <c r="G338" t="n">
        <v>7.5</v>
      </c>
      <c r="H338" t="n">
        <v>1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1</v>
      </c>
      <c r="P338" t="n">
        <v>1</v>
      </c>
      <c r="Q338" t="n">
        <v>1</v>
      </c>
      <c r="R338" s="2" t="inlineStr">
        <is>
          <t>Knärot</t>
        </is>
      </c>
      <c r="S338">
        <f>HYPERLINK("https://klasma.github.io/Logging_0513/artfynd/A 5668-2023.xlsx", "A 5668-2023")</f>
        <v/>
      </c>
      <c r="T338">
        <f>HYPERLINK("https://klasma.github.io/Logging_0513/kartor/A 5668-2023.png", "A 5668-2023")</f>
        <v/>
      </c>
      <c r="U338">
        <f>HYPERLINK("https://klasma.github.io/Logging_0513/knärot/A 5668-2023.png", "A 5668-2023")</f>
        <v/>
      </c>
      <c r="V338">
        <f>HYPERLINK("https://klasma.github.io/Logging_0513/klagomål/A 5668-2023.docx", "A 5668-2023")</f>
        <v/>
      </c>
      <c r="W338">
        <f>HYPERLINK("https://klasma.github.io/Logging_0513/klagomålsmail/A 5668-2023.docx", "A 5668-2023")</f>
        <v/>
      </c>
      <c r="X338">
        <f>HYPERLINK("https://klasma.github.io/Logging_0513/tillsyn/A 5668-2023.docx", "A 5668-2023")</f>
        <v/>
      </c>
      <c r="Y338">
        <f>HYPERLINK("https://klasma.github.io/Logging_0513/tillsynsmail/A 5668-2023.docx", "A 5668-2023")</f>
        <v/>
      </c>
    </row>
    <row r="339" ht="15" customHeight="1">
      <c r="A339" t="inlineStr">
        <is>
          <t>A 6707-2023</t>
        </is>
      </c>
      <c r="B339" s="1" t="n">
        <v>44966</v>
      </c>
      <c r="C339" s="1" t="n">
        <v>45211</v>
      </c>
      <c r="D339" t="inlineStr">
        <is>
          <t>ÖSTERGÖTLANDS LÄN</t>
        </is>
      </c>
      <c r="E339" t="inlineStr">
        <is>
          <t>FINSPÅNG</t>
        </is>
      </c>
      <c r="G339" t="n">
        <v>2.1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1</v>
      </c>
      <c r="R339" s="2" t="inlineStr">
        <is>
          <t>Vedtrappmossa</t>
        </is>
      </c>
      <c r="S339">
        <f>HYPERLINK("https://klasma.github.io/Logging_0562/artfynd/A 6707-2023.xlsx", "A 6707-2023")</f>
        <v/>
      </c>
      <c r="T339">
        <f>HYPERLINK("https://klasma.github.io/Logging_0562/kartor/A 6707-2023.png", "A 6707-2023")</f>
        <v/>
      </c>
      <c r="V339">
        <f>HYPERLINK("https://klasma.github.io/Logging_0562/klagomål/A 6707-2023.docx", "A 6707-2023")</f>
        <v/>
      </c>
      <c r="W339">
        <f>HYPERLINK("https://klasma.github.io/Logging_0562/klagomålsmail/A 6707-2023.docx", "A 6707-2023")</f>
        <v/>
      </c>
      <c r="X339">
        <f>HYPERLINK("https://klasma.github.io/Logging_0562/tillsyn/A 6707-2023.docx", "A 6707-2023")</f>
        <v/>
      </c>
      <c r="Y339">
        <f>HYPERLINK("https://klasma.github.io/Logging_0562/tillsynsmail/A 6707-2023.docx", "A 6707-2023")</f>
        <v/>
      </c>
    </row>
    <row r="340" ht="15" customHeight="1">
      <c r="A340" t="inlineStr">
        <is>
          <t>A 8719-2023</t>
        </is>
      </c>
      <c r="B340" s="1" t="n">
        <v>44973</v>
      </c>
      <c r="C340" s="1" t="n">
        <v>45211</v>
      </c>
      <c r="D340" t="inlineStr">
        <is>
          <t>ÖSTERGÖTLANDS LÄN</t>
        </is>
      </c>
      <c r="E340" t="inlineStr">
        <is>
          <t>LINKÖPING</t>
        </is>
      </c>
      <c r="G340" t="n">
        <v>3</v>
      </c>
      <c r="H340" t="n">
        <v>1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1</v>
      </c>
      <c r="R340" s="2" t="inlineStr">
        <is>
          <t>Spillkråka</t>
        </is>
      </c>
      <c r="S340">
        <f>HYPERLINK("https://klasma.github.io/Logging_0580/artfynd/A 8719-2023.xlsx", "A 8719-2023")</f>
        <v/>
      </c>
      <c r="T340">
        <f>HYPERLINK("https://klasma.github.io/Logging_0580/kartor/A 8719-2023.png", "A 8719-2023")</f>
        <v/>
      </c>
      <c r="V340">
        <f>HYPERLINK("https://klasma.github.io/Logging_0580/klagomål/A 8719-2023.docx", "A 8719-2023")</f>
        <v/>
      </c>
      <c r="W340">
        <f>HYPERLINK("https://klasma.github.io/Logging_0580/klagomålsmail/A 8719-2023.docx", "A 8719-2023")</f>
        <v/>
      </c>
      <c r="X340">
        <f>HYPERLINK("https://klasma.github.io/Logging_0580/tillsyn/A 8719-2023.docx", "A 8719-2023")</f>
        <v/>
      </c>
      <c r="Y340">
        <f>HYPERLINK("https://klasma.github.io/Logging_0580/tillsynsmail/A 8719-2023.docx", "A 8719-2023")</f>
        <v/>
      </c>
    </row>
    <row r="341" ht="15" customHeight="1">
      <c r="A341" t="inlineStr">
        <is>
          <t>A 8236-2023</t>
        </is>
      </c>
      <c r="B341" s="1" t="n">
        <v>44974</v>
      </c>
      <c r="C341" s="1" t="n">
        <v>45211</v>
      </c>
      <c r="D341" t="inlineStr">
        <is>
          <t>ÖSTERGÖTLANDS LÄN</t>
        </is>
      </c>
      <c r="E341" t="inlineStr">
        <is>
          <t>KINDA</t>
        </is>
      </c>
      <c r="G341" t="n">
        <v>2</v>
      </c>
      <c r="H341" t="n">
        <v>1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1</v>
      </c>
      <c r="P341" t="n">
        <v>1</v>
      </c>
      <c r="Q341" t="n">
        <v>1</v>
      </c>
      <c r="R341" s="2" t="inlineStr">
        <is>
          <t>Knärot</t>
        </is>
      </c>
      <c r="S341">
        <f>HYPERLINK("https://klasma.github.io/Logging_0513/artfynd/A 8236-2023.xlsx", "A 8236-2023")</f>
        <v/>
      </c>
      <c r="T341">
        <f>HYPERLINK("https://klasma.github.io/Logging_0513/kartor/A 8236-2023.png", "A 8236-2023")</f>
        <v/>
      </c>
      <c r="U341">
        <f>HYPERLINK("https://klasma.github.io/Logging_0513/knärot/A 8236-2023.png", "A 8236-2023")</f>
        <v/>
      </c>
      <c r="V341">
        <f>HYPERLINK("https://klasma.github.io/Logging_0513/klagomål/A 8236-2023.docx", "A 8236-2023")</f>
        <v/>
      </c>
      <c r="W341">
        <f>HYPERLINK("https://klasma.github.io/Logging_0513/klagomålsmail/A 8236-2023.docx", "A 8236-2023")</f>
        <v/>
      </c>
      <c r="X341">
        <f>HYPERLINK("https://klasma.github.io/Logging_0513/tillsyn/A 8236-2023.docx", "A 8236-2023")</f>
        <v/>
      </c>
      <c r="Y341">
        <f>HYPERLINK("https://klasma.github.io/Logging_0513/tillsynsmail/A 8236-2023.docx", "A 8236-2023")</f>
        <v/>
      </c>
    </row>
    <row r="342" ht="15" customHeight="1">
      <c r="A342" t="inlineStr">
        <is>
          <t>A 8255-2023</t>
        </is>
      </c>
      <c r="B342" s="1" t="n">
        <v>44974</v>
      </c>
      <c r="C342" s="1" t="n">
        <v>45211</v>
      </c>
      <c r="D342" t="inlineStr">
        <is>
          <t>ÖSTERGÖTLANDS LÄN</t>
        </is>
      </c>
      <c r="E342" t="inlineStr">
        <is>
          <t>ÖDESHÖG</t>
        </is>
      </c>
      <c r="G342" t="n">
        <v>2.4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1</v>
      </c>
      <c r="P342" t="n">
        <v>1</v>
      </c>
      <c r="Q342" t="n">
        <v>1</v>
      </c>
      <c r="R342" s="2" t="inlineStr">
        <is>
          <t>Ask</t>
        </is>
      </c>
      <c r="S342">
        <f>HYPERLINK("https://klasma.github.io/Logging_0509/artfynd/A 8255-2023.xlsx", "A 8255-2023")</f>
        <v/>
      </c>
      <c r="T342">
        <f>HYPERLINK("https://klasma.github.io/Logging_0509/kartor/A 8255-2023.png", "A 8255-2023")</f>
        <v/>
      </c>
      <c r="V342">
        <f>HYPERLINK("https://klasma.github.io/Logging_0509/klagomål/A 8255-2023.docx", "A 8255-2023")</f>
        <v/>
      </c>
      <c r="W342">
        <f>HYPERLINK("https://klasma.github.io/Logging_0509/klagomålsmail/A 8255-2023.docx", "A 8255-2023")</f>
        <v/>
      </c>
      <c r="X342">
        <f>HYPERLINK("https://klasma.github.io/Logging_0509/tillsyn/A 8255-2023.docx", "A 8255-2023")</f>
        <v/>
      </c>
      <c r="Y342">
        <f>HYPERLINK("https://klasma.github.io/Logging_0509/tillsynsmail/A 8255-2023.docx", "A 8255-2023")</f>
        <v/>
      </c>
    </row>
    <row r="343" ht="15" customHeight="1">
      <c r="A343" t="inlineStr">
        <is>
          <t>A 11012-2023</t>
        </is>
      </c>
      <c r="B343" s="1" t="n">
        <v>44991</v>
      </c>
      <c r="C343" s="1" t="n">
        <v>45211</v>
      </c>
      <c r="D343" t="inlineStr">
        <is>
          <t>ÖSTERGÖTLANDS LÄN</t>
        </is>
      </c>
      <c r="E343" t="inlineStr">
        <is>
          <t>VALDEMARSVIK</t>
        </is>
      </c>
      <c r="G343" t="n">
        <v>8.5</v>
      </c>
      <c r="H343" t="n">
        <v>1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1</v>
      </c>
      <c r="P343" t="n">
        <v>1</v>
      </c>
      <c r="Q343" t="n">
        <v>1</v>
      </c>
      <c r="R343" s="2" t="inlineStr">
        <is>
          <t>Knärot</t>
        </is>
      </c>
      <c r="S343">
        <f>HYPERLINK("https://klasma.github.io/Logging_0563/artfynd/A 11012-2023.xlsx", "A 11012-2023")</f>
        <v/>
      </c>
      <c r="T343">
        <f>HYPERLINK("https://klasma.github.io/Logging_0563/kartor/A 11012-2023.png", "A 11012-2023")</f>
        <v/>
      </c>
      <c r="U343">
        <f>HYPERLINK("https://klasma.github.io/Logging_0563/knärot/A 11012-2023.png", "A 11012-2023")</f>
        <v/>
      </c>
      <c r="V343">
        <f>HYPERLINK("https://klasma.github.io/Logging_0563/klagomål/A 11012-2023.docx", "A 11012-2023")</f>
        <v/>
      </c>
      <c r="W343">
        <f>HYPERLINK("https://klasma.github.io/Logging_0563/klagomålsmail/A 11012-2023.docx", "A 11012-2023")</f>
        <v/>
      </c>
      <c r="X343">
        <f>HYPERLINK("https://klasma.github.io/Logging_0563/tillsyn/A 11012-2023.docx", "A 11012-2023")</f>
        <v/>
      </c>
      <c r="Y343">
        <f>HYPERLINK("https://klasma.github.io/Logging_0563/tillsynsmail/A 11012-2023.docx", "A 11012-2023")</f>
        <v/>
      </c>
    </row>
    <row r="344" ht="15" customHeight="1">
      <c r="A344" t="inlineStr">
        <is>
          <t>A 11749-2023</t>
        </is>
      </c>
      <c r="B344" s="1" t="n">
        <v>44994</v>
      </c>
      <c r="C344" s="1" t="n">
        <v>45211</v>
      </c>
      <c r="D344" t="inlineStr">
        <is>
          <t>ÖSTERGÖTLANDS LÄN</t>
        </is>
      </c>
      <c r="E344" t="inlineStr">
        <is>
          <t>VALDEMARSVIK</t>
        </is>
      </c>
      <c r="G344" t="n">
        <v>2.4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s="2" t="inlineStr">
        <is>
          <t>Adam och eva</t>
        </is>
      </c>
      <c r="S344">
        <f>HYPERLINK("https://klasma.github.io/Logging_0563/artfynd/A 11749-2023.xlsx", "A 11749-2023")</f>
        <v/>
      </c>
      <c r="T344">
        <f>HYPERLINK("https://klasma.github.io/Logging_0563/kartor/A 11749-2023.png", "A 11749-2023")</f>
        <v/>
      </c>
      <c r="V344">
        <f>HYPERLINK("https://klasma.github.io/Logging_0563/klagomål/A 11749-2023.docx", "A 11749-2023")</f>
        <v/>
      </c>
      <c r="W344">
        <f>HYPERLINK("https://klasma.github.io/Logging_0563/klagomålsmail/A 11749-2023.docx", "A 11749-2023")</f>
        <v/>
      </c>
      <c r="X344">
        <f>HYPERLINK("https://klasma.github.io/Logging_0563/tillsyn/A 11749-2023.docx", "A 11749-2023")</f>
        <v/>
      </c>
      <c r="Y344">
        <f>HYPERLINK("https://klasma.github.io/Logging_0563/tillsynsmail/A 11749-2023.docx", "A 11749-2023")</f>
        <v/>
      </c>
    </row>
    <row r="345" ht="15" customHeight="1">
      <c r="A345" t="inlineStr">
        <is>
          <t>A 16169-2023</t>
        </is>
      </c>
      <c r="B345" s="1" t="n">
        <v>45027</v>
      </c>
      <c r="C345" s="1" t="n">
        <v>45211</v>
      </c>
      <c r="D345" t="inlineStr">
        <is>
          <t>ÖSTERGÖTLANDS LÄN</t>
        </is>
      </c>
      <c r="E345" t="inlineStr">
        <is>
          <t>ÖDESHÖG</t>
        </is>
      </c>
      <c r="F345" t="inlineStr">
        <is>
          <t>Allmännings- och besparingsskogar</t>
        </is>
      </c>
      <c r="G345" t="n">
        <v>11.9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s="2" t="inlineStr">
        <is>
          <t>Blåsippa</t>
        </is>
      </c>
      <c r="S345">
        <f>HYPERLINK("https://klasma.github.io/Logging_0509/artfynd/A 16169-2023.xlsx", "A 16169-2023")</f>
        <v/>
      </c>
      <c r="T345">
        <f>HYPERLINK("https://klasma.github.io/Logging_0509/kartor/A 16169-2023.png", "A 16169-2023")</f>
        <v/>
      </c>
      <c r="V345">
        <f>HYPERLINK("https://klasma.github.io/Logging_0509/klagomål/A 16169-2023.docx", "A 16169-2023")</f>
        <v/>
      </c>
      <c r="W345">
        <f>HYPERLINK("https://klasma.github.io/Logging_0509/klagomålsmail/A 16169-2023.docx", "A 16169-2023")</f>
        <v/>
      </c>
      <c r="X345">
        <f>HYPERLINK("https://klasma.github.io/Logging_0509/tillsyn/A 16169-2023.docx", "A 16169-2023")</f>
        <v/>
      </c>
      <c r="Y345">
        <f>HYPERLINK("https://klasma.github.io/Logging_0509/tillsynsmail/A 16169-2023.docx", "A 16169-2023")</f>
        <v/>
      </c>
    </row>
    <row r="346" ht="15" customHeight="1">
      <c r="A346" t="inlineStr">
        <is>
          <t>A 19360-2023</t>
        </is>
      </c>
      <c r="B346" s="1" t="n">
        <v>45049</v>
      </c>
      <c r="C346" s="1" t="n">
        <v>45211</v>
      </c>
      <c r="D346" t="inlineStr">
        <is>
          <t>ÖSTERGÖTLANDS LÄN</t>
        </is>
      </c>
      <c r="E346" t="inlineStr">
        <is>
          <t>KINDA</t>
        </is>
      </c>
      <c r="G346" t="n">
        <v>5.8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s="2" t="inlineStr">
        <is>
          <t>Sårläka</t>
        </is>
      </c>
      <c r="S346">
        <f>HYPERLINK("https://klasma.github.io/Logging_0513/artfynd/A 19360-2023.xlsx", "A 19360-2023")</f>
        <v/>
      </c>
      <c r="T346">
        <f>HYPERLINK("https://klasma.github.io/Logging_0513/kartor/A 19360-2023.png", "A 19360-2023")</f>
        <v/>
      </c>
      <c r="V346">
        <f>HYPERLINK("https://klasma.github.io/Logging_0513/klagomål/A 19360-2023.docx", "A 19360-2023")</f>
        <v/>
      </c>
      <c r="W346">
        <f>HYPERLINK("https://klasma.github.io/Logging_0513/klagomålsmail/A 19360-2023.docx", "A 19360-2023")</f>
        <v/>
      </c>
      <c r="X346">
        <f>HYPERLINK("https://klasma.github.io/Logging_0513/tillsyn/A 19360-2023.docx", "A 19360-2023")</f>
        <v/>
      </c>
      <c r="Y346">
        <f>HYPERLINK("https://klasma.github.io/Logging_0513/tillsynsmail/A 19360-2023.docx", "A 19360-2023")</f>
        <v/>
      </c>
    </row>
    <row r="347" ht="15" customHeight="1">
      <c r="A347" t="inlineStr">
        <is>
          <t>A 19404-2023</t>
        </is>
      </c>
      <c r="B347" s="1" t="n">
        <v>45049</v>
      </c>
      <c r="C347" s="1" t="n">
        <v>45211</v>
      </c>
      <c r="D347" t="inlineStr">
        <is>
          <t>ÖSTERGÖTLANDS LÄN</t>
        </is>
      </c>
      <c r="E347" t="inlineStr">
        <is>
          <t>FINSPÅNG</t>
        </is>
      </c>
      <c r="F347" t="inlineStr">
        <is>
          <t>Naturvårdsverket</t>
        </is>
      </c>
      <c r="G347" t="n">
        <v>5.1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1</v>
      </c>
      <c r="R347" s="2" t="inlineStr">
        <is>
          <t>Motaggsvamp</t>
        </is>
      </c>
      <c r="S347">
        <f>HYPERLINK("https://klasma.github.io/Logging_0562/artfynd/A 19404-2023.xlsx", "A 19404-2023")</f>
        <v/>
      </c>
      <c r="T347">
        <f>HYPERLINK("https://klasma.github.io/Logging_0562/kartor/A 19404-2023.png", "A 19404-2023")</f>
        <v/>
      </c>
      <c r="V347">
        <f>HYPERLINK("https://klasma.github.io/Logging_0562/klagomål/A 19404-2023.docx", "A 19404-2023")</f>
        <v/>
      </c>
      <c r="W347">
        <f>HYPERLINK("https://klasma.github.io/Logging_0562/klagomålsmail/A 19404-2023.docx", "A 19404-2023")</f>
        <v/>
      </c>
      <c r="X347">
        <f>HYPERLINK("https://klasma.github.io/Logging_0562/tillsyn/A 19404-2023.docx", "A 19404-2023")</f>
        <v/>
      </c>
      <c r="Y347">
        <f>HYPERLINK("https://klasma.github.io/Logging_0562/tillsynsmail/A 19404-2023.docx", "A 19404-2023")</f>
        <v/>
      </c>
    </row>
    <row r="348" ht="15" customHeight="1">
      <c r="A348" t="inlineStr">
        <is>
          <t>A 20377-2023</t>
        </is>
      </c>
      <c r="B348" s="1" t="n">
        <v>45056</v>
      </c>
      <c r="C348" s="1" t="n">
        <v>45211</v>
      </c>
      <c r="D348" t="inlineStr">
        <is>
          <t>ÖSTERGÖTLANDS LÄN</t>
        </is>
      </c>
      <c r="E348" t="inlineStr">
        <is>
          <t>NORRKÖPING</t>
        </is>
      </c>
      <c r="G348" t="n">
        <v>0.5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1</v>
      </c>
      <c r="R348" s="2" t="inlineStr">
        <is>
          <t>Tallticka</t>
        </is>
      </c>
      <c r="S348">
        <f>HYPERLINK("https://klasma.github.io/Logging_0581/artfynd/A 20377-2023.xlsx", "A 20377-2023")</f>
        <v/>
      </c>
      <c r="T348">
        <f>HYPERLINK("https://klasma.github.io/Logging_0581/kartor/A 20377-2023.png", "A 20377-2023")</f>
        <v/>
      </c>
      <c r="V348">
        <f>HYPERLINK("https://klasma.github.io/Logging_0581/klagomål/A 20377-2023.docx", "A 20377-2023")</f>
        <v/>
      </c>
      <c r="W348">
        <f>HYPERLINK("https://klasma.github.io/Logging_0581/klagomålsmail/A 20377-2023.docx", "A 20377-2023")</f>
        <v/>
      </c>
      <c r="X348">
        <f>HYPERLINK("https://klasma.github.io/Logging_0581/tillsyn/A 20377-2023.docx", "A 20377-2023")</f>
        <v/>
      </c>
      <c r="Y348">
        <f>HYPERLINK("https://klasma.github.io/Logging_0581/tillsynsmail/A 20377-2023.docx", "A 20377-2023")</f>
        <v/>
      </c>
    </row>
    <row r="349" ht="15" customHeight="1">
      <c r="A349" t="inlineStr">
        <is>
          <t>A 21833-2023</t>
        </is>
      </c>
      <c r="B349" s="1" t="n">
        <v>45068</v>
      </c>
      <c r="C349" s="1" t="n">
        <v>45211</v>
      </c>
      <c r="D349" t="inlineStr">
        <is>
          <t>ÖSTERGÖTLANDS LÄN</t>
        </is>
      </c>
      <c r="E349" t="inlineStr">
        <is>
          <t>NORRKÖPING</t>
        </is>
      </c>
      <c r="F349" t="inlineStr">
        <is>
          <t>Holmen skog AB</t>
        </is>
      </c>
      <c r="G349" t="n">
        <v>1.9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1</v>
      </c>
      <c r="P349" t="n">
        <v>1</v>
      </c>
      <c r="Q349" t="n">
        <v>1</v>
      </c>
      <c r="R349" s="2" t="inlineStr">
        <is>
          <t>Skogsalm</t>
        </is>
      </c>
      <c r="S349">
        <f>HYPERLINK("https://klasma.github.io/Logging_0581/artfynd/A 21833-2023.xlsx", "A 21833-2023")</f>
        <v/>
      </c>
      <c r="T349">
        <f>HYPERLINK("https://klasma.github.io/Logging_0581/kartor/A 21833-2023.png", "A 21833-2023")</f>
        <v/>
      </c>
      <c r="V349">
        <f>HYPERLINK("https://klasma.github.io/Logging_0581/klagomål/A 21833-2023.docx", "A 21833-2023")</f>
        <v/>
      </c>
      <c r="W349">
        <f>HYPERLINK("https://klasma.github.io/Logging_0581/klagomålsmail/A 21833-2023.docx", "A 21833-2023")</f>
        <v/>
      </c>
      <c r="X349">
        <f>HYPERLINK("https://klasma.github.io/Logging_0581/tillsyn/A 21833-2023.docx", "A 21833-2023")</f>
        <v/>
      </c>
      <c r="Y349">
        <f>HYPERLINK("https://klasma.github.io/Logging_0581/tillsynsmail/A 21833-2023.docx", "A 21833-2023")</f>
        <v/>
      </c>
    </row>
    <row r="350" ht="15" customHeight="1">
      <c r="A350" t="inlineStr">
        <is>
          <t>A 22137-2023</t>
        </is>
      </c>
      <c r="B350" s="1" t="n">
        <v>45069</v>
      </c>
      <c r="C350" s="1" t="n">
        <v>45211</v>
      </c>
      <c r="D350" t="inlineStr">
        <is>
          <t>ÖSTERGÖTLANDS LÄN</t>
        </is>
      </c>
      <c r="E350" t="inlineStr">
        <is>
          <t>LINKÖPING</t>
        </is>
      </c>
      <c r="G350" t="n">
        <v>10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s="2" t="inlineStr">
        <is>
          <t>Granbarkgnagare</t>
        </is>
      </c>
      <c r="S350">
        <f>HYPERLINK("https://klasma.github.io/Logging_0580/artfynd/A 22137-2023.xlsx", "A 22137-2023")</f>
        <v/>
      </c>
      <c r="T350">
        <f>HYPERLINK("https://klasma.github.io/Logging_0580/kartor/A 22137-2023.png", "A 22137-2023")</f>
        <v/>
      </c>
      <c r="V350">
        <f>HYPERLINK("https://klasma.github.io/Logging_0580/klagomål/A 22137-2023.docx", "A 22137-2023")</f>
        <v/>
      </c>
      <c r="W350">
        <f>HYPERLINK("https://klasma.github.io/Logging_0580/klagomålsmail/A 22137-2023.docx", "A 22137-2023")</f>
        <v/>
      </c>
      <c r="X350">
        <f>HYPERLINK("https://klasma.github.io/Logging_0580/tillsyn/A 22137-2023.docx", "A 22137-2023")</f>
        <v/>
      </c>
      <c r="Y350">
        <f>HYPERLINK("https://klasma.github.io/Logging_0580/tillsynsmail/A 22137-2023.docx", "A 22137-2023")</f>
        <v/>
      </c>
    </row>
    <row r="351" ht="15" customHeight="1">
      <c r="A351" t="inlineStr">
        <is>
          <t>A 22949-2023</t>
        </is>
      </c>
      <c r="B351" s="1" t="n">
        <v>45072</v>
      </c>
      <c r="C351" s="1" t="n">
        <v>45211</v>
      </c>
      <c r="D351" t="inlineStr">
        <is>
          <t>ÖSTERGÖTLANDS LÄN</t>
        </is>
      </c>
      <c r="E351" t="inlineStr">
        <is>
          <t>ÅTVIDABERG</t>
        </is>
      </c>
      <c r="F351" t="inlineStr">
        <is>
          <t>Sveaskog</t>
        </is>
      </c>
      <c r="G351" t="n">
        <v>0.5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s="2" t="inlineStr">
        <is>
          <t>Murgröna</t>
        </is>
      </c>
      <c r="S351">
        <f>HYPERLINK("https://klasma.github.io/Logging_0561/artfynd/A 22949-2023.xlsx", "A 22949-2023")</f>
        <v/>
      </c>
      <c r="T351">
        <f>HYPERLINK("https://klasma.github.io/Logging_0561/kartor/A 22949-2023.png", "A 22949-2023")</f>
        <v/>
      </c>
      <c r="V351">
        <f>HYPERLINK("https://klasma.github.io/Logging_0561/klagomål/A 22949-2023.docx", "A 22949-2023")</f>
        <v/>
      </c>
      <c r="W351">
        <f>HYPERLINK("https://klasma.github.io/Logging_0561/klagomålsmail/A 22949-2023.docx", "A 22949-2023")</f>
        <v/>
      </c>
      <c r="X351">
        <f>HYPERLINK("https://klasma.github.io/Logging_0561/tillsyn/A 22949-2023.docx", "A 22949-2023")</f>
        <v/>
      </c>
      <c r="Y351">
        <f>HYPERLINK("https://klasma.github.io/Logging_0561/tillsynsmail/A 22949-2023.docx", "A 22949-2023")</f>
        <v/>
      </c>
    </row>
    <row r="352" ht="15" customHeight="1">
      <c r="A352" t="inlineStr">
        <is>
          <t>A 23864-2023</t>
        </is>
      </c>
      <c r="B352" s="1" t="n">
        <v>45078</v>
      </c>
      <c r="C352" s="1" t="n">
        <v>45211</v>
      </c>
      <c r="D352" t="inlineStr">
        <is>
          <t>ÖSTERGÖTLANDS LÄN</t>
        </is>
      </c>
      <c r="E352" t="inlineStr">
        <is>
          <t>LINKÖPING</t>
        </is>
      </c>
      <c r="F352" t="inlineStr">
        <is>
          <t>Sveaskog</t>
        </is>
      </c>
      <c r="G352" t="n">
        <v>5.1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1</v>
      </c>
      <c r="P352" t="n">
        <v>1</v>
      </c>
      <c r="Q352" t="n">
        <v>1</v>
      </c>
      <c r="R352" s="2" t="inlineStr">
        <is>
          <t>Ask</t>
        </is>
      </c>
      <c r="S352">
        <f>HYPERLINK("https://klasma.github.io/Logging_0580/artfynd/A 23864-2023.xlsx", "A 23864-2023")</f>
        <v/>
      </c>
      <c r="T352">
        <f>HYPERLINK("https://klasma.github.io/Logging_0580/kartor/A 23864-2023.png", "A 23864-2023")</f>
        <v/>
      </c>
      <c r="V352">
        <f>HYPERLINK("https://klasma.github.io/Logging_0580/klagomål/A 23864-2023.docx", "A 23864-2023")</f>
        <v/>
      </c>
      <c r="W352">
        <f>HYPERLINK("https://klasma.github.io/Logging_0580/klagomålsmail/A 23864-2023.docx", "A 23864-2023")</f>
        <v/>
      </c>
      <c r="X352">
        <f>HYPERLINK("https://klasma.github.io/Logging_0580/tillsyn/A 23864-2023.docx", "A 23864-2023")</f>
        <v/>
      </c>
      <c r="Y352">
        <f>HYPERLINK("https://klasma.github.io/Logging_0580/tillsynsmail/A 23864-2023.docx", "A 23864-2023")</f>
        <v/>
      </c>
    </row>
    <row r="353" ht="15" customHeight="1">
      <c r="A353" t="inlineStr">
        <is>
          <t>A 24411-2023</t>
        </is>
      </c>
      <c r="B353" s="1" t="n">
        <v>45082</v>
      </c>
      <c r="C353" s="1" t="n">
        <v>45211</v>
      </c>
      <c r="D353" t="inlineStr">
        <is>
          <t>ÖSTERGÖTLANDS LÄN</t>
        </is>
      </c>
      <c r="E353" t="inlineStr">
        <is>
          <t>FINSPÅNG</t>
        </is>
      </c>
      <c r="F353" t="inlineStr">
        <is>
          <t>Holmen skog AB</t>
        </is>
      </c>
      <c r="G353" t="n">
        <v>1.5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s="2" t="inlineStr">
        <is>
          <t>Blåmossa</t>
        </is>
      </c>
      <c r="S353">
        <f>HYPERLINK("https://klasma.github.io/Logging_0562/artfynd/A 24411-2023.xlsx", "A 24411-2023")</f>
        <v/>
      </c>
      <c r="T353">
        <f>HYPERLINK("https://klasma.github.io/Logging_0562/kartor/A 24411-2023.png", "A 24411-2023")</f>
        <v/>
      </c>
      <c r="V353">
        <f>HYPERLINK("https://klasma.github.io/Logging_0562/klagomål/A 24411-2023.docx", "A 24411-2023")</f>
        <v/>
      </c>
      <c r="W353">
        <f>HYPERLINK("https://klasma.github.io/Logging_0562/klagomålsmail/A 24411-2023.docx", "A 24411-2023")</f>
        <v/>
      </c>
      <c r="X353">
        <f>HYPERLINK("https://klasma.github.io/Logging_0562/tillsyn/A 24411-2023.docx", "A 24411-2023")</f>
        <v/>
      </c>
      <c r="Y353">
        <f>HYPERLINK("https://klasma.github.io/Logging_0562/tillsynsmail/A 24411-2023.docx", "A 24411-2023")</f>
        <v/>
      </c>
    </row>
    <row r="354" ht="15" customHeight="1">
      <c r="A354" t="inlineStr">
        <is>
          <t>A 25203-2023</t>
        </is>
      </c>
      <c r="B354" s="1" t="n">
        <v>45086</v>
      </c>
      <c r="C354" s="1" t="n">
        <v>45211</v>
      </c>
      <c r="D354" t="inlineStr">
        <is>
          <t>ÖSTERGÖTLANDS LÄN</t>
        </is>
      </c>
      <c r="E354" t="inlineStr">
        <is>
          <t>VADSTENA</t>
        </is>
      </c>
      <c r="G354" t="n">
        <v>7.8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1</v>
      </c>
      <c r="P354" t="n">
        <v>1</v>
      </c>
      <c r="Q354" t="n">
        <v>1</v>
      </c>
      <c r="R354" s="2" t="inlineStr">
        <is>
          <t>Skogsalm</t>
        </is>
      </c>
      <c r="S354">
        <f>HYPERLINK("https://klasma.github.io/Logging_0584/artfynd/A 25203-2023.xlsx", "A 25203-2023")</f>
        <v/>
      </c>
      <c r="T354">
        <f>HYPERLINK("https://klasma.github.io/Logging_0584/kartor/A 25203-2023.png", "A 25203-2023")</f>
        <v/>
      </c>
      <c r="V354">
        <f>HYPERLINK("https://klasma.github.io/Logging_0584/klagomål/A 25203-2023.docx", "A 25203-2023")</f>
        <v/>
      </c>
      <c r="W354">
        <f>HYPERLINK("https://klasma.github.io/Logging_0584/klagomålsmail/A 25203-2023.docx", "A 25203-2023")</f>
        <v/>
      </c>
      <c r="X354">
        <f>HYPERLINK("https://klasma.github.io/Logging_0584/tillsyn/A 25203-2023.docx", "A 25203-2023")</f>
        <v/>
      </c>
      <c r="Y354">
        <f>HYPERLINK("https://klasma.github.io/Logging_0584/tillsynsmail/A 25203-2023.docx", "A 25203-2023")</f>
        <v/>
      </c>
    </row>
    <row r="355" ht="15" customHeight="1">
      <c r="A355" t="inlineStr">
        <is>
          <t>A 25855-2023</t>
        </is>
      </c>
      <c r="B355" s="1" t="n">
        <v>45090</v>
      </c>
      <c r="C355" s="1" t="n">
        <v>45211</v>
      </c>
      <c r="D355" t="inlineStr">
        <is>
          <t>ÖSTERGÖTLANDS LÄN</t>
        </is>
      </c>
      <c r="E355" t="inlineStr">
        <is>
          <t>YDRE</t>
        </is>
      </c>
      <c r="F355" t="inlineStr">
        <is>
          <t>Sveaskog</t>
        </is>
      </c>
      <c r="G355" t="n">
        <v>1.4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1</v>
      </c>
      <c r="P355" t="n">
        <v>1</v>
      </c>
      <c r="Q355" t="n">
        <v>1</v>
      </c>
      <c r="R355" s="2" t="inlineStr">
        <is>
          <t>Skogsalm</t>
        </is>
      </c>
      <c r="S355">
        <f>HYPERLINK("https://klasma.github.io/Logging_0512/artfynd/A 25855-2023.xlsx", "A 25855-2023")</f>
        <v/>
      </c>
      <c r="T355">
        <f>HYPERLINK("https://klasma.github.io/Logging_0512/kartor/A 25855-2023.png", "A 25855-2023")</f>
        <v/>
      </c>
      <c r="V355">
        <f>HYPERLINK("https://klasma.github.io/Logging_0512/klagomål/A 25855-2023.docx", "A 25855-2023")</f>
        <v/>
      </c>
      <c r="W355">
        <f>HYPERLINK("https://klasma.github.io/Logging_0512/klagomålsmail/A 25855-2023.docx", "A 25855-2023")</f>
        <v/>
      </c>
      <c r="X355">
        <f>HYPERLINK("https://klasma.github.io/Logging_0512/tillsyn/A 25855-2023.docx", "A 25855-2023")</f>
        <v/>
      </c>
      <c r="Y355">
        <f>HYPERLINK("https://klasma.github.io/Logging_0512/tillsynsmail/A 25855-2023.docx", "A 25855-2023")</f>
        <v/>
      </c>
    </row>
    <row r="356" ht="15" customHeight="1">
      <c r="A356" t="inlineStr">
        <is>
          <t>A 26808-2023</t>
        </is>
      </c>
      <c r="B356" s="1" t="n">
        <v>45093</v>
      </c>
      <c r="C356" s="1" t="n">
        <v>45211</v>
      </c>
      <c r="D356" t="inlineStr">
        <is>
          <t>ÖSTERGÖTLANDS LÄN</t>
        </is>
      </c>
      <c r="E356" t="inlineStr">
        <is>
          <t>KINDA</t>
        </is>
      </c>
      <c r="G356" t="n">
        <v>2.1</v>
      </c>
      <c r="H356" t="n">
        <v>1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1</v>
      </c>
      <c r="R356" s="2" t="inlineStr">
        <is>
          <t>Järpe</t>
        </is>
      </c>
      <c r="S356">
        <f>HYPERLINK("https://klasma.github.io/Logging_0513/artfynd/A 26808-2023.xlsx", "A 26808-2023")</f>
        <v/>
      </c>
      <c r="T356">
        <f>HYPERLINK("https://klasma.github.io/Logging_0513/kartor/A 26808-2023.png", "A 26808-2023")</f>
        <v/>
      </c>
      <c r="V356">
        <f>HYPERLINK("https://klasma.github.io/Logging_0513/klagomål/A 26808-2023.docx", "A 26808-2023")</f>
        <v/>
      </c>
      <c r="W356">
        <f>HYPERLINK("https://klasma.github.io/Logging_0513/klagomålsmail/A 26808-2023.docx", "A 26808-2023")</f>
        <v/>
      </c>
      <c r="X356">
        <f>HYPERLINK("https://klasma.github.io/Logging_0513/tillsyn/A 26808-2023.docx", "A 26808-2023")</f>
        <v/>
      </c>
      <c r="Y356">
        <f>HYPERLINK("https://klasma.github.io/Logging_0513/tillsynsmail/A 26808-2023.docx", "A 26808-2023")</f>
        <v/>
      </c>
    </row>
    <row r="357" ht="15" customHeight="1">
      <c r="A357" t="inlineStr">
        <is>
          <t>A 26812-2023</t>
        </is>
      </c>
      <c r="B357" s="1" t="n">
        <v>45093</v>
      </c>
      <c r="C357" s="1" t="n">
        <v>45211</v>
      </c>
      <c r="D357" t="inlineStr">
        <is>
          <t>ÖSTERGÖTLANDS LÄN</t>
        </is>
      </c>
      <c r="E357" t="inlineStr">
        <is>
          <t>KINDA</t>
        </is>
      </c>
      <c r="G357" t="n">
        <v>6.4</v>
      </c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s="2" t="inlineStr">
        <is>
          <t>Korallrot</t>
        </is>
      </c>
      <c r="S357">
        <f>HYPERLINK("https://klasma.github.io/Logging_0513/artfynd/A 26812-2023.xlsx", "A 26812-2023")</f>
        <v/>
      </c>
      <c r="T357">
        <f>HYPERLINK("https://klasma.github.io/Logging_0513/kartor/A 26812-2023.png", "A 26812-2023")</f>
        <v/>
      </c>
      <c r="V357">
        <f>HYPERLINK("https://klasma.github.io/Logging_0513/klagomål/A 26812-2023.docx", "A 26812-2023")</f>
        <v/>
      </c>
      <c r="W357">
        <f>HYPERLINK("https://klasma.github.io/Logging_0513/klagomålsmail/A 26812-2023.docx", "A 26812-2023")</f>
        <v/>
      </c>
      <c r="X357">
        <f>HYPERLINK("https://klasma.github.io/Logging_0513/tillsyn/A 26812-2023.docx", "A 26812-2023")</f>
        <v/>
      </c>
      <c r="Y357">
        <f>HYPERLINK("https://klasma.github.io/Logging_0513/tillsynsmail/A 26812-2023.docx", "A 26812-2023")</f>
        <v/>
      </c>
    </row>
    <row r="358" ht="15" customHeight="1">
      <c r="A358" t="inlineStr">
        <is>
          <t>A 26800-2023</t>
        </is>
      </c>
      <c r="B358" s="1" t="n">
        <v>45093</v>
      </c>
      <c r="C358" s="1" t="n">
        <v>45211</v>
      </c>
      <c r="D358" t="inlineStr">
        <is>
          <t>ÖSTERGÖTLANDS LÄN</t>
        </is>
      </c>
      <c r="E358" t="inlineStr">
        <is>
          <t>KINDA</t>
        </is>
      </c>
      <c r="G358" t="n">
        <v>4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1</v>
      </c>
      <c r="R358" s="2" t="inlineStr">
        <is>
          <t>Sandviol</t>
        </is>
      </c>
      <c r="S358">
        <f>HYPERLINK("https://klasma.github.io/Logging_0513/artfynd/A 26800-2023.xlsx", "A 26800-2023")</f>
        <v/>
      </c>
      <c r="T358">
        <f>HYPERLINK("https://klasma.github.io/Logging_0513/kartor/A 26800-2023.png", "A 26800-2023")</f>
        <v/>
      </c>
      <c r="V358">
        <f>HYPERLINK("https://klasma.github.io/Logging_0513/klagomål/A 26800-2023.docx", "A 26800-2023")</f>
        <v/>
      </c>
      <c r="W358">
        <f>HYPERLINK("https://klasma.github.io/Logging_0513/klagomålsmail/A 26800-2023.docx", "A 26800-2023")</f>
        <v/>
      </c>
      <c r="X358">
        <f>HYPERLINK("https://klasma.github.io/Logging_0513/tillsyn/A 26800-2023.docx", "A 26800-2023")</f>
        <v/>
      </c>
      <c r="Y358">
        <f>HYPERLINK("https://klasma.github.io/Logging_0513/tillsynsmail/A 26800-2023.docx", "A 26800-2023")</f>
        <v/>
      </c>
    </row>
    <row r="359" ht="15" customHeight="1">
      <c r="A359" t="inlineStr">
        <is>
          <t>A 27107-2023</t>
        </is>
      </c>
      <c r="B359" s="1" t="n">
        <v>45096</v>
      </c>
      <c r="C359" s="1" t="n">
        <v>45211</v>
      </c>
      <c r="D359" t="inlineStr">
        <is>
          <t>ÖSTERGÖTLANDS LÄN</t>
        </is>
      </c>
      <c r="E359" t="inlineStr">
        <is>
          <t>NORRKÖPING</t>
        </is>
      </c>
      <c r="F359" t="inlineStr">
        <is>
          <t>Holmen skog AB</t>
        </is>
      </c>
      <c r="G359" t="n">
        <v>0.5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1</v>
      </c>
      <c r="R359" s="2" t="inlineStr">
        <is>
          <t>Svartvit flugsnappare</t>
        </is>
      </c>
      <c r="S359">
        <f>HYPERLINK("https://klasma.github.io/Logging_0581/artfynd/A 27107-2023.xlsx", "A 27107-2023")</f>
        <v/>
      </c>
      <c r="T359">
        <f>HYPERLINK("https://klasma.github.io/Logging_0581/kartor/A 27107-2023.png", "A 27107-2023")</f>
        <v/>
      </c>
      <c r="V359">
        <f>HYPERLINK("https://klasma.github.io/Logging_0581/klagomål/A 27107-2023.docx", "A 27107-2023")</f>
        <v/>
      </c>
      <c r="W359">
        <f>HYPERLINK("https://klasma.github.io/Logging_0581/klagomålsmail/A 27107-2023.docx", "A 27107-2023")</f>
        <v/>
      </c>
      <c r="X359">
        <f>HYPERLINK("https://klasma.github.io/Logging_0581/tillsyn/A 27107-2023.docx", "A 27107-2023")</f>
        <v/>
      </c>
      <c r="Y359">
        <f>HYPERLINK("https://klasma.github.io/Logging_0581/tillsynsmail/A 27107-2023.docx", "A 27107-2023")</f>
        <v/>
      </c>
    </row>
    <row r="360" ht="15" customHeight="1">
      <c r="A360" t="inlineStr">
        <is>
          <t>A 29236-2023</t>
        </is>
      </c>
      <c r="B360" s="1" t="n">
        <v>45105</v>
      </c>
      <c r="C360" s="1" t="n">
        <v>45211</v>
      </c>
      <c r="D360" t="inlineStr">
        <is>
          <t>ÖSTERGÖTLANDS LÄN</t>
        </is>
      </c>
      <c r="E360" t="inlineStr">
        <is>
          <t>NORRKÖPING</t>
        </is>
      </c>
      <c r="F360" t="inlineStr">
        <is>
          <t>Holmen skog AB</t>
        </is>
      </c>
      <c r="G360" t="n">
        <v>14.5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s="2" t="inlineStr">
        <is>
          <t>Fläcknycklar</t>
        </is>
      </c>
      <c r="S360">
        <f>HYPERLINK("https://klasma.github.io/Logging_0581/artfynd/A 29236-2023.xlsx", "A 29236-2023")</f>
        <v/>
      </c>
      <c r="T360">
        <f>HYPERLINK("https://klasma.github.io/Logging_0581/kartor/A 29236-2023.png", "A 29236-2023")</f>
        <v/>
      </c>
      <c r="V360">
        <f>HYPERLINK("https://klasma.github.io/Logging_0581/klagomål/A 29236-2023.docx", "A 29236-2023")</f>
        <v/>
      </c>
      <c r="W360">
        <f>HYPERLINK("https://klasma.github.io/Logging_0581/klagomålsmail/A 29236-2023.docx", "A 29236-2023")</f>
        <v/>
      </c>
      <c r="X360">
        <f>HYPERLINK("https://klasma.github.io/Logging_0581/tillsyn/A 29236-2023.docx", "A 29236-2023")</f>
        <v/>
      </c>
      <c r="Y360">
        <f>HYPERLINK("https://klasma.github.io/Logging_0581/tillsynsmail/A 29236-2023.docx", "A 29236-2023")</f>
        <v/>
      </c>
    </row>
    <row r="361" ht="15" customHeight="1">
      <c r="A361" t="inlineStr">
        <is>
          <t>A 32510-2023</t>
        </is>
      </c>
      <c r="B361" s="1" t="n">
        <v>45121</v>
      </c>
      <c r="C361" s="1" t="n">
        <v>45211</v>
      </c>
      <c r="D361" t="inlineStr">
        <is>
          <t>ÖSTERGÖTLANDS LÄN</t>
        </is>
      </c>
      <c r="E361" t="inlineStr">
        <is>
          <t>NORRKÖPING</t>
        </is>
      </c>
      <c r="F361" t="inlineStr">
        <is>
          <t>Holmen skog AB</t>
        </is>
      </c>
      <c r="G361" t="n">
        <v>3.7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1</v>
      </c>
      <c r="R361" s="2" t="inlineStr">
        <is>
          <t>Gullklöver</t>
        </is>
      </c>
      <c r="S361">
        <f>HYPERLINK("https://klasma.github.io/Logging_0581/artfynd/A 32510-2023.xlsx", "A 32510-2023")</f>
        <v/>
      </c>
      <c r="T361">
        <f>HYPERLINK("https://klasma.github.io/Logging_0581/kartor/A 32510-2023.png", "A 32510-2023")</f>
        <v/>
      </c>
      <c r="V361">
        <f>HYPERLINK("https://klasma.github.io/Logging_0581/klagomål/A 32510-2023.docx", "A 32510-2023")</f>
        <v/>
      </c>
      <c r="W361">
        <f>HYPERLINK("https://klasma.github.io/Logging_0581/klagomålsmail/A 32510-2023.docx", "A 32510-2023")</f>
        <v/>
      </c>
      <c r="X361">
        <f>HYPERLINK("https://klasma.github.io/Logging_0581/tillsyn/A 32510-2023.docx", "A 32510-2023")</f>
        <v/>
      </c>
      <c r="Y361">
        <f>HYPERLINK("https://klasma.github.io/Logging_0581/tillsynsmail/A 32510-2023.docx", "A 32510-2023")</f>
        <v/>
      </c>
    </row>
    <row r="362" ht="15" customHeight="1">
      <c r="A362" t="inlineStr">
        <is>
          <t>A 32570-2023</t>
        </is>
      </c>
      <c r="B362" s="1" t="n">
        <v>45121</v>
      </c>
      <c r="C362" s="1" t="n">
        <v>45211</v>
      </c>
      <c r="D362" t="inlineStr">
        <is>
          <t>ÖSTERGÖTLANDS LÄN</t>
        </is>
      </c>
      <c r="E362" t="inlineStr">
        <is>
          <t>FINSPÅNG</t>
        </is>
      </c>
      <c r="F362" t="inlineStr">
        <is>
          <t>Övriga Aktiebolag</t>
        </is>
      </c>
      <c r="G362" t="n">
        <v>7.7</v>
      </c>
      <c r="H362" t="n">
        <v>1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1</v>
      </c>
      <c r="R362" s="2" t="inlineStr">
        <is>
          <t>Havsörn</t>
        </is>
      </c>
      <c r="S362">
        <f>HYPERLINK("https://klasma.github.io/Logging_0562/artfynd/A 32570-2023.xlsx", "A 32570-2023")</f>
        <v/>
      </c>
      <c r="T362">
        <f>HYPERLINK("https://klasma.github.io/Logging_0562/kartor/A 32570-2023.png", "A 32570-2023")</f>
        <v/>
      </c>
      <c r="V362">
        <f>HYPERLINK("https://klasma.github.io/Logging_0562/klagomål/A 32570-2023.docx", "A 32570-2023")</f>
        <v/>
      </c>
      <c r="W362">
        <f>HYPERLINK("https://klasma.github.io/Logging_0562/klagomålsmail/A 32570-2023.docx", "A 32570-2023")</f>
        <v/>
      </c>
      <c r="X362">
        <f>HYPERLINK("https://klasma.github.io/Logging_0562/tillsyn/A 32570-2023.docx", "A 32570-2023")</f>
        <v/>
      </c>
      <c r="Y362">
        <f>HYPERLINK("https://klasma.github.io/Logging_0562/tillsynsmail/A 32570-2023.docx", "A 32570-2023")</f>
        <v/>
      </c>
    </row>
    <row r="363" ht="15" customHeight="1">
      <c r="A363" t="inlineStr">
        <is>
          <t>A 33573-2023</t>
        </is>
      </c>
      <c r="B363" s="1" t="n">
        <v>45131</v>
      </c>
      <c r="C363" s="1" t="n">
        <v>45211</v>
      </c>
      <c r="D363" t="inlineStr">
        <is>
          <t>ÖSTERGÖTLANDS LÄN</t>
        </is>
      </c>
      <c r="E363" t="inlineStr">
        <is>
          <t>LINKÖPING</t>
        </is>
      </c>
      <c r="F363" t="inlineStr">
        <is>
          <t>Övriga Aktiebolag</t>
        </is>
      </c>
      <c r="G363" t="n">
        <v>8.9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1</v>
      </c>
      <c r="P363" t="n">
        <v>1</v>
      </c>
      <c r="Q363" t="n">
        <v>1</v>
      </c>
      <c r="R363" s="2" t="inlineStr">
        <is>
          <t>Ask</t>
        </is>
      </c>
      <c r="S363">
        <f>HYPERLINK("https://klasma.github.io/Logging_0580/artfynd/A 33573-2023.xlsx", "A 33573-2023")</f>
        <v/>
      </c>
      <c r="T363">
        <f>HYPERLINK("https://klasma.github.io/Logging_0580/kartor/A 33573-2023.png", "A 33573-2023")</f>
        <v/>
      </c>
      <c r="V363">
        <f>HYPERLINK("https://klasma.github.io/Logging_0580/klagomål/A 33573-2023.docx", "A 33573-2023")</f>
        <v/>
      </c>
      <c r="W363">
        <f>HYPERLINK("https://klasma.github.io/Logging_0580/klagomålsmail/A 33573-2023.docx", "A 33573-2023")</f>
        <v/>
      </c>
      <c r="X363">
        <f>HYPERLINK("https://klasma.github.io/Logging_0580/tillsyn/A 33573-2023.docx", "A 33573-2023")</f>
        <v/>
      </c>
      <c r="Y363">
        <f>HYPERLINK("https://klasma.github.io/Logging_0580/tillsynsmail/A 33573-2023.docx", "A 33573-2023")</f>
        <v/>
      </c>
    </row>
    <row r="364" ht="15" customHeight="1">
      <c r="A364" t="inlineStr">
        <is>
          <t>A 35948-2023</t>
        </is>
      </c>
      <c r="B364" s="1" t="n">
        <v>45148</v>
      </c>
      <c r="C364" s="1" t="n">
        <v>45211</v>
      </c>
      <c r="D364" t="inlineStr">
        <is>
          <t>ÖSTERGÖTLANDS LÄN</t>
        </is>
      </c>
      <c r="E364" t="inlineStr">
        <is>
          <t>LINKÖPING</t>
        </is>
      </c>
      <c r="G364" t="n">
        <v>1.9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s="2" t="inlineStr">
        <is>
          <t>Brun nållav</t>
        </is>
      </c>
      <c r="S364">
        <f>HYPERLINK("https://klasma.github.io/Logging_0580/artfynd/A 35948-2023.xlsx", "A 35948-2023")</f>
        <v/>
      </c>
      <c r="T364">
        <f>HYPERLINK("https://klasma.github.io/Logging_0580/kartor/A 35948-2023.png", "A 35948-2023")</f>
        <v/>
      </c>
      <c r="V364">
        <f>HYPERLINK("https://klasma.github.io/Logging_0580/klagomål/A 35948-2023.docx", "A 35948-2023")</f>
        <v/>
      </c>
      <c r="W364">
        <f>HYPERLINK("https://klasma.github.io/Logging_0580/klagomålsmail/A 35948-2023.docx", "A 35948-2023")</f>
        <v/>
      </c>
      <c r="X364">
        <f>HYPERLINK("https://klasma.github.io/Logging_0580/tillsyn/A 35948-2023.docx", "A 35948-2023")</f>
        <v/>
      </c>
      <c r="Y364">
        <f>HYPERLINK("https://klasma.github.io/Logging_0580/tillsynsmail/A 35948-2023.docx", "A 35948-2023")</f>
        <v/>
      </c>
    </row>
    <row r="365" ht="15" customHeight="1">
      <c r="A365" t="inlineStr">
        <is>
          <t>A 38229-2023</t>
        </is>
      </c>
      <c r="B365" s="1" t="n">
        <v>45161</v>
      </c>
      <c r="C365" s="1" t="n">
        <v>45211</v>
      </c>
      <c r="D365" t="inlineStr">
        <is>
          <t>ÖSTERGÖTLANDS LÄN</t>
        </is>
      </c>
      <c r="E365" t="inlineStr">
        <is>
          <t>LINKÖPING</t>
        </is>
      </c>
      <c r="G365" t="n">
        <v>2.8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1</v>
      </c>
      <c r="R365" s="2" t="inlineStr">
        <is>
          <t>Sommarfibbla</t>
        </is>
      </c>
      <c r="S365">
        <f>HYPERLINK("https://klasma.github.io/Logging_0580/artfynd/A 38229-2023.xlsx", "A 38229-2023")</f>
        <v/>
      </c>
      <c r="T365">
        <f>HYPERLINK("https://klasma.github.io/Logging_0580/kartor/A 38229-2023.png", "A 38229-2023")</f>
        <v/>
      </c>
      <c r="V365">
        <f>HYPERLINK("https://klasma.github.io/Logging_0580/klagomål/A 38229-2023.docx", "A 38229-2023")</f>
        <v/>
      </c>
      <c r="W365">
        <f>HYPERLINK("https://klasma.github.io/Logging_0580/klagomålsmail/A 38229-2023.docx", "A 38229-2023")</f>
        <v/>
      </c>
      <c r="X365">
        <f>HYPERLINK("https://klasma.github.io/Logging_0580/tillsyn/A 38229-2023.docx", "A 38229-2023")</f>
        <v/>
      </c>
      <c r="Y365">
        <f>HYPERLINK("https://klasma.github.io/Logging_0580/tillsynsmail/A 38229-2023.docx", "A 38229-2023")</f>
        <v/>
      </c>
    </row>
    <row r="366" ht="15" customHeight="1">
      <c r="A366" t="inlineStr">
        <is>
          <t>A 39872-2023</t>
        </is>
      </c>
      <c r="B366" s="1" t="n">
        <v>45168</v>
      </c>
      <c r="C366" s="1" t="n">
        <v>45211</v>
      </c>
      <c r="D366" t="inlineStr">
        <is>
          <t>ÖSTERGÖTLANDS LÄN</t>
        </is>
      </c>
      <c r="E366" t="inlineStr">
        <is>
          <t>LINKÖPING</t>
        </is>
      </c>
      <c r="G366" t="n">
        <v>3.6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1</v>
      </c>
      <c r="R366" s="2" t="inlineStr">
        <is>
          <t>Svinrot</t>
        </is>
      </c>
      <c r="S366">
        <f>HYPERLINK("https://klasma.github.io/Logging_0580/artfynd/A 39872-2023.xlsx", "A 39872-2023")</f>
        <v/>
      </c>
      <c r="T366">
        <f>HYPERLINK("https://klasma.github.io/Logging_0580/kartor/A 39872-2023.png", "A 39872-2023")</f>
        <v/>
      </c>
      <c r="V366">
        <f>HYPERLINK("https://klasma.github.io/Logging_0580/klagomål/A 39872-2023.docx", "A 39872-2023")</f>
        <v/>
      </c>
      <c r="W366">
        <f>HYPERLINK("https://klasma.github.io/Logging_0580/klagomålsmail/A 39872-2023.docx", "A 39872-2023")</f>
        <v/>
      </c>
      <c r="X366">
        <f>HYPERLINK("https://klasma.github.io/Logging_0580/tillsyn/A 39872-2023.docx", "A 39872-2023")</f>
        <v/>
      </c>
      <c r="Y366">
        <f>HYPERLINK("https://klasma.github.io/Logging_0580/tillsynsmail/A 39872-2023.docx", "A 39872-2023")</f>
        <v/>
      </c>
    </row>
    <row r="367" ht="15" customHeight="1">
      <c r="A367" t="inlineStr">
        <is>
          <t>A 34580-2018</t>
        </is>
      </c>
      <c r="B367" s="1" t="n">
        <v>43320</v>
      </c>
      <c r="C367" s="1" t="n">
        <v>45211</v>
      </c>
      <c r="D367" t="inlineStr">
        <is>
          <t>ÖSTERGÖTLANDS LÄN</t>
        </is>
      </c>
      <c r="E367" t="inlineStr">
        <is>
          <t>FINSPÅNG</t>
        </is>
      </c>
      <c r="F367" t="inlineStr">
        <is>
          <t>Övriga Aktiebolag</t>
        </is>
      </c>
      <c r="G367" t="n">
        <v>2.5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34575-2018</t>
        </is>
      </c>
      <c r="B368" s="1" t="n">
        <v>43320</v>
      </c>
      <c r="C368" s="1" t="n">
        <v>45211</v>
      </c>
      <c r="D368" t="inlineStr">
        <is>
          <t>ÖSTERGÖTLANDS LÄN</t>
        </is>
      </c>
      <c r="E368" t="inlineStr">
        <is>
          <t>FINSPÅNG</t>
        </is>
      </c>
      <c r="F368" t="inlineStr">
        <is>
          <t>Övriga Aktiebolag</t>
        </is>
      </c>
      <c r="G368" t="n">
        <v>9.1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34573-2018</t>
        </is>
      </c>
      <c r="B369" s="1" t="n">
        <v>43320</v>
      </c>
      <c r="C369" s="1" t="n">
        <v>45211</v>
      </c>
      <c r="D369" t="inlineStr">
        <is>
          <t>ÖSTERGÖTLANDS LÄN</t>
        </is>
      </c>
      <c r="E369" t="inlineStr">
        <is>
          <t>KINDA</t>
        </is>
      </c>
      <c r="G369" t="n">
        <v>3.4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34882-2018</t>
        </is>
      </c>
      <c r="B370" s="1" t="n">
        <v>43321</v>
      </c>
      <c r="C370" s="1" t="n">
        <v>45211</v>
      </c>
      <c r="D370" t="inlineStr">
        <is>
          <t>ÖSTERGÖTLANDS LÄN</t>
        </is>
      </c>
      <c r="E370" t="inlineStr">
        <is>
          <t>KINDA</t>
        </is>
      </c>
      <c r="G370" t="n">
        <v>1.2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34880-2018</t>
        </is>
      </c>
      <c r="B371" s="1" t="n">
        <v>43321</v>
      </c>
      <c r="C371" s="1" t="n">
        <v>45211</v>
      </c>
      <c r="D371" t="inlineStr">
        <is>
          <t>ÖSTERGÖTLANDS LÄN</t>
        </is>
      </c>
      <c r="E371" t="inlineStr">
        <is>
          <t>KINDA</t>
        </is>
      </c>
      <c r="G371" t="n">
        <v>1.5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35231-2018</t>
        </is>
      </c>
      <c r="B372" s="1" t="n">
        <v>43323</v>
      </c>
      <c r="C372" s="1" t="n">
        <v>45211</v>
      </c>
      <c r="D372" t="inlineStr">
        <is>
          <t>ÖSTERGÖTLANDS LÄN</t>
        </is>
      </c>
      <c r="E372" t="inlineStr">
        <is>
          <t>BOXHOLM</t>
        </is>
      </c>
      <c r="G372" t="n">
        <v>1.9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35310-2018</t>
        </is>
      </c>
      <c r="B373" s="1" t="n">
        <v>43325</v>
      </c>
      <c r="C373" s="1" t="n">
        <v>45211</v>
      </c>
      <c r="D373" t="inlineStr">
        <is>
          <t>ÖSTERGÖTLANDS LÄN</t>
        </is>
      </c>
      <c r="E373" t="inlineStr">
        <is>
          <t>ÅTVIDABERG</t>
        </is>
      </c>
      <c r="G373" t="n">
        <v>0.3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35429-2018</t>
        </is>
      </c>
      <c r="B374" s="1" t="n">
        <v>43325</v>
      </c>
      <c r="C374" s="1" t="n">
        <v>45211</v>
      </c>
      <c r="D374" t="inlineStr">
        <is>
          <t>ÖSTERGÖTLANDS LÄN</t>
        </is>
      </c>
      <c r="E374" t="inlineStr">
        <is>
          <t>KINDA</t>
        </is>
      </c>
      <c r="G374" t="n">
        <v>1.7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35619-2018</t>
        </is>
      </c>
      <c r="B375" s="1" t="n">
        <v>43326</v>
      </c>
      <c r="C375" s="1" t="n">
        <v>45211</v>
      </c>
      <c r="D375" t="inlineStr">
        <is>
          <t>ÖSTERGÖTLANDS LÄN</t>
        </is>
      </c>
      <c r="E375" t="inlineStr">
        <is>
          <t>MOTALA</t>
        </is>
      </c>
      <c r="F375" t="inlineStr">
        <is>
          <t>Sveaskog</t>
        </is>
      </c>
      <c r="G375" t="n">
        <v>1.2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35709-2018</t>
        </is>
      </c>
      <c r="B376" s="1" t="n">
        <v>43326</v>
      </c>
      <c r="C376" s="1" t="n">
        <v>45211</v>
      </c>
      <c r="D376" t="inlineStr">
        <is>
          <t>ÖSTERGÖTLANDS LÄN</t>
        </is>
      </c>
      <c r="E376" t="inlineStr">
        <is>
          <t>SÖDERKÖPING</t>
        </is>
      </c>
      <c r="G376" t="n">
        <v>4.4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35620-2018</t>
        </is>
      </c>
      <c r="B377" s="1" t="n">
        <v>43326</v>
      </c>
      <c r="C377" s="1" t="n">
        <v>45211</v>
      </c>
      <c r="D377" t="inlineStr">
        <is>
          <t>ÖSTERGÖTLANDS LÄN</t>
        </is>
      </c>
      <c r="E377" t="inlineStr">
        <is>
          <t>MOTALA</t>
        </is>
      </c>
      <c r="F377" t="inlineStr">
        <is>
          <t>Sveaskog</t>
        </is>
      </c>
      <c r="G377" t="n">
        <v>2.6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36523-2018</t>
        </is>
      </c>
      <c r="B378" s="1" t="n">
        <v>43328</v>
      </c>
      <c r="C378" s="1" t="n">
        <v>45211</v>
      </c>
      <c r="D378" t="inlineStr">
        <is>
          <t>ÖSTERGÖTLANDS LÄN</t>
        </is>
      </c>
      <c r="E378" t="inlineStr">
        <is>
          <t>SÖDERKÖPING</t>
        </is>
      </c>
      <c r="G378" t="n">
        <v>1.4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36461-2018</t>
        </is>
      </c>
      <c r="B379" s="1" t="n">
        <v>43328</v>
      </c>
      <c r="C379" s="1" t="n">
        <v>45211</v>
      </c>
      <c r="D379" t="inlineStr">
        <is>
          <t>ÖSTERGÖTLANDS LÄN</t>
        </is>
      </c>
      <c r="E379" t="inlineStr">
        <is>
          <t>KINDA</t>
        </is>
      </c>
      <c r="G379" t="n">
        <v>11.8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37455-2018</t>
        </is>
      </c>
      <c r="B380" s="1" t="n">
        <v>43334</v>
      </c>
      <c r="C380" s="1" t="n">
        <v>45211</v>
      </c>
      <c r="D380" t="inlineStr">
        <is>
          <t>ÖSTERGÖTLANDS LÄN</t>
        </is>
      </c>
      <c r="E380" t="inlineStr">
        <is>
          <t>VALDEMARSVIK</t>
        </is>
      </c>
      <c r="G380" t="n">
        <v>0.9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37327-2018</t>
        </is>
      </c>
      <c r="B381" s="1" t="n">
        <v>43334</v>
      </c>
      <c r="C381" s="1" t="n">
        <v>45211</v>
      </c>
      <c r="D381" t="inlineStr">
        <is>
          <t>ÖSTERGÖTLANDS LÄN</t>
        </is>
      </c>
      <c r="E381" t="inlineStr">
        <is>
          <t>MOTALA</t>
        </is>
      </c>
      <c r="G381" t="n">
        <v>19.1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37479-2018</t>
        </is>
      </c>
      <c r="B382" s="1" t="n">
        <v>43334</v>
      </c>
      <c r="C382" s="1" t="n">
        <v>45211</v>
      </c>
      <c r="D382" t="inlineStr">
        <is>
          <t>ÖSTERGÖTLANDS LÄN</t>
        </is>
      </c>
      <c r="E382" t="inlineStr">
        <is>
          <t>MOTALA</t>
        </is>
      </c>
      <c r="G382" t="n">
        <v>4.8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38127-2018</t>
        </is>
      </c>
      <c r="B383" s="1" t="n">
        <v>43335</v>
      </c>
      <c r="C383" s="1" t="n">
        <v>45211</v>
      </c>
      <c r="D383" t="inlineStr">
        <is>
          <t>ÖSTERGÖTLANDS LÄN</t>
        </is>
      </c>
      <c r="E383" t="inlineStr">
        <is>
          <t>KINDA</t>
        </is>
      </c>
      <c r="G383" t="n">
        <v>3.4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38951-2018</t>
        </is>
      </c>
      <c r="B384" s="1" t="n">
        <v>43336</v>
      </c>
      <c r="C384" s="1" t="n">
        <v>45211</v>
      </c>
      <c r="D384" t="inlineStr">
        <is>
          <t>ÖSTERGÖTLANDS LÄN</t>
        </is>
      </c>
      <c r="E384" t="inlineStr">
        <is>
          <t>KINDA</t>
        </is>
      </c>
      <c r="G384" t="n">
        <v>0.6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38097-2018</t>
        </is>
      </c>
      <c r="B385" s="1" t="n">
        <v>43336</v>
      </c>
      <c r="C385" s="1" t="n">
        <v>45211</v>
      </c>
      <c r="D385" t="inlineStr">
        <is>
          <t>ÖSTERGÖTLANDS LÄN</t>
        </is>
      </c>
      <c r="E385" t="inlineStr">
        <is>
          <t>YDRE</t>
        </is>
      </c>
      <c r="G385" t="n">
        <v>0.3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38851-2018</t>
        </is>
      </c>
      <c r="B386" s="1" t="n">
        <v>43336</v>
      </c>
      <c r="C386" s="1" t="n">
        <v>45211</v>
      </c>
      <c r="D386" t="inlineStr">
        <is>
          <t>ÖSTERGÖTLANDS LÄN</t>
        </is>
      </c>
      <c r="E386" t="inlineStr">
        <is>
          <t>KINDA</t>
        </is>
      </c>
      <c r="G386" t="n">
        <v>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39205-2018</t>
        </is>
      </c>
      <c r="B387" s="1" t="n">
        <v>43339</v>
      </c>
      <c r="C387" s="1" t="n">
        <v>45211</v>
      </c>
      <c r="D387" t="inlineStr">
        <is>
          <t>ÖSTERGÖTLANDS LÄN</t>
        </is>
      </c>
      <c r="E387" t="inlineStr">
        <is>
          <t>MOTALA</t>
        </is>
      </c>
      <c r="G387" t="n">
        <v>3.1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38301-2018</t>
        </is>
      </c>
      <c r="B388" s="1" t="n">
        <v>43339</v>
      </c>
      <c r="C388" s="1" t="n">
        <v>45211</v>
      </c>
      <c r="D388" t="inlineStr">
        <is>
          <t>ÖSTERGÖTLANDS LÄN</t>
        </is>
      </c>
      <c r="E388" t="inlineStr">
        <is>
          <t>YDRE</t>
        </is>
      </c>
      <c r="G388" t="n">
        <v>0.6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38716-2018</t>
        </is>
      </c>
      <c r="B389" s="1" t="n">
        <v>43340</v>
      </c>
      <c r="C389" s="1" t="n">
        <v>45211</v>
      </c>
      <c r="D389" t="inlineStr">
        <is>
          <t>ÖSTERGÖTLANDS LÄN</t>
        </is>
      </c>
      <c r="E389" t="inlineStr">
        <is>
          <t>KINDA</t>
        </is>
      </c>
      <c r="G389" t="n">
        <v>1.5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39365-2018</t>
        </is>
      </c>
      <c r="B390" s="1" t="n">
        <v>43340</v>
      </c>
      <c r="C390" s="1" t="n">
        <v>45211</v>
      </c>
      <c r="D390" t="inlineStr">
        <is>
          <t>ÖSTERGÖTLANDS LÄN</t>
        </is>
      </c>
      <c r="E390" t="inlineStr">
        <is>
          <t>LINKÖPING</t>
        </is>
      </c>
      <c r="F390" t="inlineStr">
        <is>
          <t>Övriga Aktiebolag</t>
        </is>
      </c>
      <c r="G390" t="n">
        <v>16.8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39599-2018</t>
        </is>
      </c>
      <c r="B391" s="1" t="n">
        <v>43341</v>
      </c>
      <c r="C391" s="1" t="n">
        <v>45211</v>
      </c>
      <c r="D391" t="inlineStr">
        <is>
          <t>ÖSTERGÖTLANDS LÄN</t>
        </is>
      </c>
      <c r="E391" t="inlineStr">
        <is>
          <t>VALDEMARSVIK</t>
        </is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39658-2018</t>
        </is>
      </c>
      <c r="B392" s="1" t="n">
        <v>43341</v>
      </c>
      <c r="C392" s="1" t="n">
        <v>45211</v>
      </c>
      <c r="D392" t="inlineStr">
        <is>
          <t>ÖSTERGÖTLANDS LÄN</t>
        </is>
      </c>
      <c r="E392" t="inlineStr">
        <is>
          <t>VALDEMARSVIK</t>
        </is>
      </c>
      <c r="G392" t="n">
        <v>1.2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39582-2018</t>
        </is>
      </c>
      <c r="B393" s="1" t="n">
        <v>43341</v>
      </c>
      <c r="C393" s="1" t="n">
        <v>45211</v>
      </c>
      <c r="D393" t="inlineStr">
        <is>
          <t>ÖSTERGÖTLANDS LÄN</t>
        </is>
      </c>
      <c r="E393" t="inlineStr">
        <is>
          <t>KINDA</t>
        </is>
      </c>
      <c r="G393" t="n">
        <v>4.7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39674-2018</t>
        </is>
      </c>
      <c r="B394" s="1" t="n">
        <v>43342</v>
      </c>
      <c r="C394" s="1" t="n">
        <v>45211</v>
      </c>
      <c r="D394" t="inlineStr">
        <is>
          <t>ÖSTERGÖTLANDS LÄN</t>
        </is>
      </c>
      <c r="E394" t="inlineStr">
        <is>
          <t>FINSPÅNG</t>
        </is>
      </c>
      <c r="F394" t="inlineStr">
        <is>
          <t>Holmen skog AB</t>
        </is>
      </c>
      <c r="G394" t="n">
        <v>23.8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40502-2018</t>
        </is>
      </c>
      <c r="B395" s="1" t="n">
        <v>43342</v>
      </c>
      <c r="C395" s="1" t="n">
        <v>45211</v>
      </c>
      <c r="D395" t="inlineStr">
        <is>
          <t>ÖSTERGÖTLANDS LÄN</t>
        </is>
      </c>
      <c r="E395" t="inlineStr">
        <is>
          <t>ÅTVIDABERG</t>
        </is>
      </c>
      <c r="F395" t="inlineStr">
        <is>
          <t>Övriga Aktiebolag</t>
        </is>
      </c>
      <c r="G395" t="n">
        <v>2.4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40003-2018</t>
        </is>
      </c>
      <c r="B396" s="1" t="n">
        <v>43343</v>
      </c>
      <c r="C396" s="1" t="n">
        <v>45211</v>
      </c>
      <c r="D396" t="inlineStr">
        <is>
          <t>ÖSTERGÖTLANDS LÄN</t>
        </is>
      </c>
      <c r="E396" t="inlineStr">
        <is>
          <t>ÅTVIDABERG</t>
        </is>
      </c>
      <c r="F396" t="inlineStr">
        <is>
          <t>Sveaskog</t>
        </is>
      </c>
      <c r="G396" t="n">
        <v>1.2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40632-2018</t>
        </is>
      </c>
      <c r="B397" s="1" t="n">
        <v>43343</v>
      </c>
      <c r="C397" s="1" t="n">
        <v>45211</v>
      </c>
      <c r="D397" t="inlineStr">
        <is>
          <t>ÖSTERGÖTLANDS LÄN</t>
        </is>
      </c>
      <c r="E397" t="inlineStr">
        <is>
          <t>VALDEMARSVIK</t>
        </is>
      </c>
      <c r="G397" t="n">
        <v>5.9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40006-2018</t>
        </is>
      </c>
      <c r="B398" s="1" t="n">
        <v>43343</v>
      </c>
      <c r="C398" s="1" t="n">
        <v>45211</v>
      </c>
      <c r="D398" t="inlineStr">
        <is>
          <t>ÖSTERGÖTLANDS LÄN</t>
        </is>
      </c>
      <c r="E398" t="inlineStr">
        <is>
          <t>ÅTVIDABERG</t>
        </is>
      </c>
      <c r="F398" t="inlineStr">
        <is>
          <t>Sveaskog</t>
        </is>
      </c>
      <c r="G398" t="n">
        <v>3.9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39997-2018</t>
        </is>
      </c>
      <c r="B399" s="1" t="n">
        <v>43343</v>
      </c>
      <c r="C399" s="1" t="n">
        <v>45211</v>
      </c>
      <c r="D399" t="inlineStr">
        <is>
          <t>ÖSTERGÖTLANDS LÄN</t>
        </is>
      </c>
      <c r="E399" t="inlineStr">
        <is>
          <t>ÅTVIDABERG</t>
        </is>
      </c>
      <c r="F399" t="inlineStr">
        <is>
          <t>Sveaskog</t>
        </is>
      </c>
      <c r="G399" t="n">
        <v>2.6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40451-2018</t>
        </is>
      </c>
      <c r="B400" s="1" t="n">
        <v>43346</v>
      </c>
      <c r="C400" s="1" t="n">
        <v>45211</v>
      </c>
      <c r="D400" t="inlineStr">
        <is>
          <t>ÖSTERGÖTLANDS LÄN</t>
        </is>
      </c>
      <c r="E400" t="inlineStr">
        <is>
          <t>KINDA</t>
        </is>
      </c>
      <c r="G400" t="n">
        <v>3.2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41489-2018</t>
        </is>
      </c>
      <c r="B401" s="1" t="n">
        <v>43347</v>
      </c>
      <c r="C401" s="1" t="n">
        <v>45211</v>
      </c>
      <c r="D401" t="inlineStr">
        <is>
          <t>ÖSTERGÖTLANDS LÄN</t>
        </is>
      </c>
      <c r="E401" t="inlineStr">
        <is>
          <t>MJÖLBY</t>
        </is>
      </c>
      <c r="G401" t="n">
        <v>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41584-2018</t>
        </is>
      </c>
      <c r="B402" s="1" t="n">
        <v>43348</v>
      </c>
      <c r="C402" s="1" t="n">
        <v>45211</v>
      </c>
      <c r="D402" t="inlineStr">
        <is>
          <t>ÖSTERGÖTLANDS LÄN</t>
        </is>
      </c>
      <c r="E402" t="inlineStr">
        <is>
          <t>KINDA</t>
        </is>
      </c>
      <c r="G402" t="n">
        <v>8.4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41697-2018</t>
        </is>
      </c>
      <c r="B403" s="1" t="n">
        <v>43348</v>
      </c>
      <c r="C403" s="1" t="n">
        <v>45211</v>
      </c>
      <c r="D403" t="inlineStr">
        <is>
          <t>ÖSTERGÖTLANDS LÄN</t>
        </is>
      </c>
      <c r="E403" t="inlineStr">
        <is>
          <t>LINKÖPING</t>
        </is>
      </c>
      <c r="F403" t="inlineStr">
        <is>
          <t>Övriga Aktiebolag</t>
        </is>
      </c>
      <c r="G403" t="n">
        <v>2.5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41941-2018</t>
        </is>
      </c>
      <c r="B404" s="1" t="n">
        <v>43349</v>
      </c>
      <c r="C404" s="1" t="n">
        <v>45211</v>
      </c>
      <c r="D404" t="inlineStr">
        <is>
          <t>ÖSTERGÖTLANDS LÄN</t>
        </is>
      </c>
      <c r="E404" t="inlineStr">
        <is>
          <t>BOXHOLM</t>
        </is>
      </c>
      <c r="F404" t="inlineStr">
        <is>
          <t>Övriga Aktiebolag</t>
        </is>
      </c>
      <c r="G404" t="n">
        <v>1.1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42053-2018</t>
        </is>
      </c>
      <c r="B405" s="1" t="n">
        <v>43350</v>
      </c>
      <c r="C405" s="1" t="n">
        <v>45211</v>
      </c>
      <c r="D405" t="inlineStr">
        <is>
          <t>ÖSTERGÖTLANDS LÄN</t>
        </is>
      </c>
      <c r="E405" t="inlineStr">
        <is>
          <t>MOTALA</t>
        </is>
      </c>
      <c r="G405" t="n">
        <v>0.8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41742-2018</t>
        </is>
      </c>
      <c r="B406" s="1" t="n">
        <v>43350</v>
      </c>
      <c r="C406" s="1" t="n">
        <v>45211</v>
      </c>
      <c r="D406" t="inlineStr">
        <is>
          <t>ÖSTERGÖTLANDS LÄN</t>
        </is>
      </c>
      <c r="E406" t="inlineStr">
        <is>
          <t>FINSPÅNG</t>
        </is>
      </c>
      <c r="G406" t="n">
        <v>0.5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42261-2018</t>
        </is>
      </c>
      <c r="B407" s="1" t="n">
        <v>43353</v>
      </c>
      <c r="C407" s="1" t="n">
        <v>45211</v>
      </c>
      <c r="D407" t="inlineStr">
        <is>
          <t>ÖSTERGÖTLANDS LÄN</t>
        </is>
      </c>
      <c r="E407" t="inlineStr">
        <is>
          <t>ÅTVIDABERG</t>
        </is>
      </c>
      <c r="F407" t="inlineStr">
        <is>
          <t>Sveaskog</t>
        </is>
      </c>
      <c r="G407" t="n">
        <v>4.6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42277-2018</t>
        </is>
      </c>
      <c r="B408" s="1" t="n">
        <v>43353</v>
      </c>
      <c r="C408" s="1" t="n">
        <v>45211</v>
      </c>
      <c r="D408" t="inlineStr">
        <is>
          <t>ÖSTERGÖTLANDS LÄN</t>
        </is>
      </c>
      <c r="E408" t="inlineStr">
        <is>
          <t>ÅTVIDABERG</t>
        </is>
      </c>
      <c r="F408" t="inlineStr">
        <is>
          <t>Sveaskog</t>
        </is>
      </c>
      <c r="G408" t="n">
        <v>0.7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42264-2018</t>
        </is>
      </c>
      <c r="B409" s="1" t="n">
        <v>43353</v>
      </c>
      <c r="C409" s="1" t="n">
        <v>45211</v>
      </c>
      <c r="D409" t="inlineStr">
        <is>
          <t>ÖSTERGÖTLANDS LÄN</t>
        </is>
      </c>
      <c r="E409" t="inlineStr">
        <is>
          <t>ÅTVIDABERG</t>
        </is>
      </c>
      <c r="F409" t="inlineStr">
        <is>
          <t>Sveaskog</t>
        </is>
      </c>
      <c r="G409" t="n">
        <v>1.4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42265-2018</t>
        </is>
      </c>
      <c r="B410" s="1" t="n">
        <v>43353</v>
      </c>
      <c r="C410" s="1" t="n">
        <v>45211</v>
      </c>
      <c r="D410" t="inlineStr">
        <is>
          <t>ÖSTERGÖTLANDS LÄN</t>
        </is>
      </c>
      <c r="E410" t="inlineStr">
        <is>
          <t>ÅTVIDABERG</t>
        </is>
      </c>
      <c r="F410" t="inlineStr">
        <is>
          <t>Sveaskog</t>
        </is>
      </c>
      <c r="G410" t="n">
        <v>0.8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43595-2018</t>
        </is>
      </c>
      <c r="B411" s="1" t="n">
        <v>43354</v>
      </c>
      <c r="C411" s="1" t="n">
        <v>45211</v>
      </c>
      <c r="D411" t="inlineStr">
        <is>
          <t>ÖSTERGÖTLANDS LÄN</t>
        </is>
      </c>
      <c r="E411" t="inlineStr">
        <is>
          <t>YDRE</t>
        </is>
      </c>
      <c r="G411" t="n">
        <v>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42970-2018</t>
        </is>
      </c>
      <c r="B412" s="1" t="n">
        <v>43355</v>
      </c>
      <c r="C412" s="1" t="n">
        <v>45211</v>
      </c>
      <c r="D412" t="inlineStr">
        <is>
          <t>ÖSTERGÖTLANDS LÄN</t>
        </is>
      </c>
      <c r="E412" t="inlineStr">
        <is>
          <t>YDRE</t>
        </is>
      </c>
      <c r="G412" t="n">
        <v>1.1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43731-2018</t>
        </is>
      </c>
      <c r="B413" s="1" t="n">
        <v>43355</v>
      </c>
      <c r="C413" s="1" t="n">
        <v>45211</v>
      </c>
      <c r="D413" t="inlineStr">
        <is>
          <t>ÖSTERGÖTLANDS LÄN</t>
        </is>
      </c>
      <c r="E413" t="inlineStr">
        <is>
          <t>VALDEMARSVIK</t>
        </is>
      </c>
      <c r="G413" t="n">
        <v>1.1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43158-2018</t>
        </is>
      </c>
      <c r="B414" s="1" t="n">
        <v>43355</v>
      </c>
      <c r="C414" s="1" t="n">
        <v>45211</v>
      </c>
      <c r="D414" t="inlineStr">
        <is>
          <t>ÖSTERGÖTLANDS LÄN</t>
        </is>
      </c>
      <c r="E414" t="inlineStr">
        <is>
          <t>NORRKÖPING</t>
        </is>
      </c>
      <c r="F414" t="inlineStr">
        <is>
          <t>Allmännings- och besparingsskogar</t>
        </is>
      </c>
      <c r="G414" t="n">
        <v>0.9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42882-2018</t>
        </is>
      </c>
      <c r="B415" s="1" t="n">
        <v>43355</v>
      </c>
      <c r="C415" s="1" t="n">
        <v>45211</v>
      </c>
      <c r="D415" t="inlineStr">
        <is>
          <t>ÖSTERGÖTLANDS LÄN</t>
        </is>
      </c>
      <c r="E415" t="inlineStr">
        <is>
          <t>YDRE</t>
        </is>
      </c>
      <c r="G415" t="n">
        <v>1.1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44476-2018</t>
        </is>
      </c>
      <c r="B416" s="1" t="n">
        <v>43355</v>
      </c>
      <c r="C416" s="1" t="n">
        <v>45211</v>
      </c>
      <c r="D416" t="inlineStr">
        <is>
          <t>ÖSTERGÖTLANDS LÄN</t>
        </is>
      </c>
      <c r="E416" t="inlineStr">
        <is>
          <t>KINDA</t>
        </is>
      </c>
      <c r="G416" t="n">
        <v>4.8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44439-2018</t>
        </is>
      </c>
      <c r="B417" s="1" t="n">
        <v>43356</v>
      </c>
      <c r="C417" s="1" t="n">
        <v>45211</v>
      </c>
      <c r="D417" t="inlineStr">
        <is>
          <t>ÖSTERGÖTLANDS LÄN</t>
        </is>
      </c>
      <c r="E417" t="inlineStr">
        <is>
          <t>YDRE</t>
        </is>
      </c>
      <c r="G417" t="n">
        <v>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44393-2018</t>
        </is>
      </c>
      <c r="B418" s="1" t="n">
        <v>43356</v>
      </c>
      <c r="C418" s="1" t="n">
        <v>45211</v>
      </c>
      <c r="D418" t="inlineStr">
        <is>
          <t>ÖSTERGÖTLANDS LÄN</t>
        </is>
      </c>
      <c r="E418" t="inlineStr">
        <is>
          <t>KINDA</t>
        </is>
      </c>
      <c r="G418" t="n">
        <v>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44403-2018</t>
        </is>
      </c>
      <c r="B419" s="1" t="n">
        <v>43356</v>
      </c>
      <c r="C419" s="1" t="n">
        <v>45211</v>
      </c>
      <c r="D419" t="inlineStr">
        <is>
          <t>ÖSTERGÖTLANDS LÄN</t>
        </is>
      </c>
      <c r="E419" t="inlineStr">
        <is>
          <t>KINDA</t>
        </is>
      </c>
      <c r="G419" t="n">
        <v>1.1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43202-2018</t>
        </is>
      </c>
      <c r="B420" s="1" t="n">
        <v>43356</v>
      </c>
      <c r="C420" s="1" t="n">
        <v>45211</v>
      </c>
      <c r="D420" t="inlineStr">
        <is>
          <t>ÖSTERGÖTLANDS LÄN</t>
        </is>
      </c>
      <c r="E420" t="inlineStr">
        <is>
          <t>MOTALA</t>
        </is>
      </c>
      <c r="G420" t="n">
        <v>4.6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44823-2018</t>
        </is>
      </c>
      <c r="B421" s="1" t="n">
        <v>43357</v>
      </c>
      <c r="C421" s="1" t="n">
        <v>45211</v>
      </c>
      <c r="D421" t="inlineStr">
        <is>
          <t>ÖSTERGÖTLANDS LÄN</t>
        </is>
      </c>
      <c r="E421" t="inlineStr">
        <is>
          <t>FINSPÅNG</t>
        </is>
      </c>
      <c r="G421" t="n">
        <v>3.9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44666-2018</t>
        </is>
      </c>
      <c r="B422" s="1" t="n">
        <v>43357</v>
      </c>
      <c r="C422" s="1" t="n">
        <v>45211</v>
      </c>
      <c r="D422" t="inlineStr">
        <is>
          <t>ÖSTERGÖTLANDS LÄN</t>
        </is>
      </c>
      <c r="E422" t="inlineStr">
        <is>
          <t>KINDA</t>
        </is>
      </c>
      <c r="G422" t="n">
        <v>2.9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43646-2018</t>
        </is>
      </c>
      <c r="B423" s="1" t="n">
        <v>43357</v>
      </c>
      <c r="C423" s="1" t="n">
        <v>45211</v>
      </c>
      <c r="D423" t="inlineStr">
        <is>
          <t>ÖSTERGÖTLANDS LÄN</t>
        </is>
      </c>
      <c r="E423" t="inlineStr">
        <is>
          <t>MJÖLBY</t>
        </is>
      </c>
      <c r="G423" t="n">
        <v>0.9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43654-2018</t>
        </is>
      </c>
      <c r="B424" s="1" t="n">
        <v>43357</v>
      </c>
      <c r="C424" s="1" t="n">
        <v>45211</v>
      </c>
      <c r="D424" t="inlineStr">
        <is>
          <t>ÖSTERGÖTLANDS LÄN</t>
        </is>
      </c>
      <c r="E424" t="inlineStr">
        <is>
          <t>MJÖLBY</t>
        </is>
      </c>
      <c r="G424" t="n">
        <v>2.4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44071-2018</t>
        </is>
      </c>
      <c r="B425" s="1" t="n">
        <v>43360</v>
      </c>
      <c r="C425" s="1" t="n">
        <v>45211</v>
      </c>
      <c r="D425" t="inlineStr">
        <is>
          <t>ÖSTERGÖTLANDS LÄN</t>
        </is>
      </c>
      <c r="E425" t="inlineStr">
        <is>
          <t>MJÖLBY</t>
        </is>
      </c>
      <c r="G425" t="n">
        <v>0.4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44136-2018</t>
        </is>
      </c>
      <c r="B426" s="1" t="n">
        <v>43360</v>
      </c>
      <c r="C426" s="1" t="n">
        <v>45211</v>
      </c>
      <c r="D426" t="inlineStr">
        <is>
          <t>ÖSTERGÖTLANDS LÄN</t>
        </is>
      </c>
      <c r="E426" t="inlineStr">
        <is>
          <t>NORRKÖPING</t>
        </is>
      </c>
      <c r="G426" t="n">
        <v>1.2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44083-2018</t>
        </is>
      </c>
      <c r="B427" s="1" t="n">
        <v>43360</v>
      </c>
      <c r="C427" s="1" t="n">
        <v>45211</v>
      </c>
      <c r="D427" t="inlineStr">
        <is>
          <t>ÖSTERGÖTLANDS LÄN</t>
        </is>
      </c>
      <c r="E427" t="inlineStr">
        <is>
          <t>MJÖLBY</t>
        </is>
      </c>
      <c r="G427" t="n">
        <v>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45666-2018</t>
        </is>
      </c>
      <c r="B428" s="1" t="n">
        <v>43362</v>
      </c>
      <c r="C428" s="1" t="n">
        <v>45211</v>
      </c>
      <c r="D428" t="inlineStr">
        <is>
          <t>ÖSTERGÖTLANDS LÄN</t>
        </is>
      </c>
      <c r="E428" t="inlineStr">
        <is>
          <t>LINKÖPING</t>
        </is>
      </c>
      <c r="G428" t="n">
        <v>7.2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44946-2018</t>
        </is>
      </c>
      <c r="B429" s="1" t="n">
        <v>43362</v>
      </c>
      <c r="C429" s="1" t="n">
        <v>45211</v>
      </c>
      <c r="D429" t="inlineStr">
        <is>
          <t>ÖSTERGÖTLANDS LÄN</t>
        </is>
      </c>
      <c r="E429" t="inlineStr">
        <is>
          <t>MJÖLBY</t>
        </is>
      </c>
      <c r="G429" t="n">
        <v>3.5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44790-2018</t>
        </is>
      </c>
      <c r="B430" s="1" t="n">
        <v>43362</v>
      </c>
      <c r="C430" s="1" t="n">
        <v>45211</v>
      </c>
      <c r="D430" t="inlineStr">
        <is>
          <t>ÖSTERGÖTLANDS LÄN</t>
        </is>
      </c>
      <c r="E430" t="inlineStr">
        <is>
          <t>FINSPÅNG</t>
        </is>
      </c>
      <c r="G430" t="n">
        <v>16.7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45174-2018</t>
        </is>
      </c>
      <c r="B431" s="1" t="n">
        <v>43362</v>
      </c>
      <c r="C431" s="1" t="n">
        <v>45211</v>
      </c>
      <c r="D431" t="inlineStr">
        <is>
          <t>ÖSTERGÖTLANDS LÄN</t>
        </is>
      </c>
      <c r="E431" t="inlineStr">
        <is>
          <t>YDRE</t>
        </is>
      </c>
      <c r="G431" t="n">
        <v>2.9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45370-2018</t>
        </is>
      </c>
      <c r="B432" s="1" t="n">
        <v>43363</v>
      </c>
      <c r="C432" s="1" t="n">
        <v>45211</v>
      </c>
      <c r="D432" t="inlineStr">
        <is>
          <t>ÖSTERGÖTLANDS LÄN</t>
        </is>
      </c>
      <c r="E432" t="inlineStr">
        <is>
          <t>ÖDESHÖG</t>
        </is>
      </c>
      <c r="F432" t="inlineStr">
        <is>
          <t>Allmännings- och besparingsskogar</t>
        </is>
      </c>
      <c r="G432" t="n">
        <v>7.1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45740-2018</t>
        </is>
      </c>
      <c r="B433" s="1" t="n">
        <v>43364</v>
      </c>
      <c r="C433" s="1" t="n">
        <v>45211</v>
      </c>
      <c r="D433" t="inlineStr">
        <is>
          <t>ÖSTERGÖTLANDS LÄN</t>
        </is>
      </c>
      <c r="E433" t="inlineStr">
        <is>
          <t>FINSPÅNG</t>
        </is>
      </c>
      <c r="G433" t="n">
        <v>3.2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45731-2018</t>
        </is>
      </c>
      <c r="B434" s="1" t="n">
        <v>43364</v>
      </c>
      <c r="C434" s="1" t="n">
        <v>45211</v>
      </c>
      <c r="D434" t="inlineStr">
        <is>
          <t>ÖSTERGÖTLANDS LÄN</t>
        </is>
      </c>
      <c r="E434" t="inlineStr">
        <is>
          <t>FINSPÅNG</t>
        </is>
      </c>
      <c r="G434" t="n">
        <v>2.5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46888-2018</t>
        </is>
      </c>
      <c r="B435" s="1" t="n">
        <v>43368</v>
      </c>
      <c r="C435" s="1" t="n">
        <v>45211</v>
      </c>
      <c r="D435" t="inlineStr">
        <is>
          <t>ÖSTERGÖTLANDS LÄN</t>
        </is>
      </c>
      <c r="E435" t="inlineStr">
        <is>
          <t>NORRKÖPING</t>
        </is>
      </c>
      <c r="G435" t="n">
        <v>1.9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46876-2018</t>
        </is>
      </c>
      <c r="B436" s="1" t="n">
        <v>43368</v>
      </c>
      <c r="C436" s="1" t="n">
        <v>45211</v>
      </c>
      <c r="D436" t="inlineStr">
        <is>
          <t>ÖSTERGÖTLANDS LÄN</t>
        </is>
      </c>
      <c r="E436" t="inlineStr">
        <is>
          <t>BOXHOLM</t>
        </is>
      </c>
      <c r="G436" t="n">
        <v>1.2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47655-2018</t>
        </is>
      </c>
      <c r="B437" s="1" t="n">
        <v>43368</v>
      </c>
      <c r="C437" s="1" t="n">
        <v>45211</v>
      </c>
      <c r="D437" t="inlineStr">
        <is>
          <t>ÖSTERGÖTLANDS LÄN</t>
        </is>
      </c>
      <c r="E437" t="inlineStr">
        <is>
          <t>KINDA</t>
        </is>
      </c>
      <c r="G437" t="n">
        <v>5.4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47540-2018</t>
        </is>
      </c>
      <c r="B438" s="1" t="n">
        <v>43370</v>
      </c>
      <c r="C438" s="1" t="n">
        <v>45211</v>
      </c>
      <c r="D438" t="inlineStr">
        <is>
          <t>ÖSTERGÖTLANDS LÄN</t>
        </is>
      </c>
      <c r="E438" t="inlineStr">
        <is>
          <t>LINKÖPING</t>
        </is>
      </c>
      <c r="G438" t="n">
        <v>1.2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47939-2018</t>
        </is>
      </c>
      <c r="B439" s="1" t="n">
        <v>43370</v>
      </c>
      <c r="C439" s="1" t="n">
        <v>45211</v>
      </c>
      <c r="D439" t="inlineStr">
        <is>
          <t>ÖSTERGÖTLANDS LÄN</t>
        </is>
      </c>
      <c r="E439" t="inlineStr">
        <is>
          <t>NORRKÖPING</t>
        </is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47604-2018</t>
        </is>
      </c>
      <c r="B440" s="1" t="n">
        <v>43370</v>
      </c>
      <c r="C440" s="1" t="n">
        <v>45211</v>
      </c>
      <c r="D440" t="inlineStr">
        <is>
          <t>ÖSTERGÖTLANDS LÄN</t>
        </is>
      </c>
      <c r="E440" t="inlineStr">
        <is>
          <t>MOTALA</t>
        </is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47982-2018</t>
        </is>
      </c>
      <c r="B441" s="1" t="n">
        <v>43370</v>
      </c>
      <c r="C441" s="1" t="n">
        <v>45211</v>
      </c>
      <c r="D441" t="inlineStr">
        <is>
          <t>ÖSTERGÖTLANDS LÄN</t>
        </is>
      </c>
      <c r="E441" t="inlineStr">
        <is>
          <t>NORRKÖPING</t>
        </is>
      </c>
      <c r="G441" t="n">
        <v>3.5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48266-2018</t>
        </is>
      </c>
      <c r="B442" s="1" t="n">
        <v>43371</v>
      </c>
      <c r="C442" s="1" t="n">
        <v>45211</v>
      </c>
      <c r="D442" t="inlineStr">
        <is>
          <t>ÖSTERGÖTLANDS LÄN</t>
        </is>
      </c>
      <c r="E442" t="inlineStr">
        <is>
          <t>ÅTVIDABERG</t>
        </is>
      </c>
      <c r="F442" t="inlineStr">
        <is>
          <t>Sveaskog</t>
        </is>
      </c>
      <c r="G442" t="n">
        <v>1.4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48147-2018</t>
        </is>
      </c>
      <c r="B443" s="1" t="n">
        <v>43371</v>
      </c>
      <c r="C443" s="1" t="n">
        <v>45211</v>
      </c>
      <c r="D443" t="inlineStr">
        <is>
          <t>ÖSTERGÖTLANDS LÄN</t>
        </is>
      </c>
      <c r="E443" t="inlineStr">
        <is>
          <t>MJÖLBY</t>
        </is>
      </c>
      <c r="G443" t="n">
        <v>1.4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48259-2018</t>
        </is>
      </c>
      <c r="B444" s="1" t="n">
        <v>43371</v>
      </c>
      <c r="C444" s="1" t="n">
        <v>45211</v>
      </c>
      <c r="D444" t="inlineStr">
        <is>
          <t>ÖSTERGÖTLANDS LÄN</t>
        </is>
      </c>
      <c r="E444" t="inlineStr">
        <is>
          <t>ÅTVIDABERG</t>
        </is>
      </c>
      <c r="F444" t="inlineStr">
        <is>
          <t>Sveaskog</t>
        </is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49009-2018</t>
        </is>
      </c>
      <c r="B445" s="1" t="n">
        <v>43374</v>
      </c>
      <c r="C445" s="1" t="n">
        <v>45211</v>
      </c>
      <c r="D445" t="inlineStr">
        <is>
          <t>ÖSTERGÖTLANDS LÄN</t>
        </is>
      </c>
      <c r="E445" t="inlineStr">
        <is>
          <t>LINKÖPING</t>
        </is>
      </c>
      <c r="G445" t="n">
        <v>0.5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49011-2018</t>
        </is>
      </c>
      <c r="B446" s="1" t="n">
        <v>43374</v>
      </c>
      <c r="C446" s="1" t="n">
        <v>45211</v>
      </c>
      <c r="D446" t="inlineStr">
        <is>
          <t>ÖSTERGÖTLANDS LÄN</t>
        </is>
      </c>
      <c r="E446" t="inlineStr">
        <is>
          <t>LINKÖPING</t>
        </is>
      </c>
      <c r="G446" t="n">
        <v>0.5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48966-2018</t>
        </is>
      </c>
      <c r="B447" s="1" t="n">
        <v>43374</v>
      </c>
      <c r="C447" s="1" t="n">
        <v>45211</v>
      </c>
      <c r="D447" t="inlineStr">
        <is>
          <t>ÖSTERGÖTLANDS LÄN</t>
        </is>
      </c>
      <c r="E447" t="inlineStr">
        <is>
          <t>LINKÖPING</t>
        </is>
      </c>
      <c r="G447" t="n">
        <v>0.5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48999-2018</t>
        </is>
      </c>
      <c r="B448" s="1" t="n">
        <v>43375</v>
      </c>
      <c r="C448" s="1" t="n">
        <v>45211</v>
      </c>
      <c r="D448" t="inlineStr">
        <is>
          <t>ÖSTERGÖTLANDS LÄN</t>
        </is>
      </c>
      <c r="E448" t="inlineStr">
        <is>
          <t>YDRE</t>
        </is>
      </c>
      <c r="G448" t="n">
        <v>1.8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49801-2018</t>
        </is>
      </c>
      <c r="B449" s="1" t="n">
        <v>43375</v>
      </c>
      <c r="C449" s="1" t="n">
        <v>45211</v>
      </c>
      <c r="D449" t="inlineStr">
        <is>
          <t>ÖSTERGÖTLANDS LÄN</t>
        </is>
      </c>
      <c r="E449" t="inlineStr">
        <is>
          <t>KINDA</t>
        </is>
      </c>
      <c r="F449" t="inlineStr">
        <is>
          <t>Övriga Aktiebolag</t>
        </is>
      </c>
      <c r="G449" t="n">
        <v>17.6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49898-2018</t>
        </is>
      </c>
      <c r="B450" s="1" t="n">
        <v>43375</v>
      </c>
      <c r="C450" s="1" t="n">
        <v>45211</v>
      </c>
      <c r="D450" t="inlineStr">
        <is>
          <t>ÖSTERGÖTLANDS LÄN</t>
        </is>
      </c>
      <c r="E450" t="inlineStr">
        <is>
          <t>MOTALA</t>
        </is>
      </c>
      <c r="G450" t="n">
        <v>2.8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49000-2018</t>
        </is>
      </c>
      <c r="B451" s="1" t="n">
        <v>43375</v>
      </c>
      <c r="C451" s="1" t="n">
        <v>45211</v>
      </c>
      <c r="D451" t="inlineStr">
        <is>
          <t>ÖSTERGÖTLANDS LÄN</t>
        </is>
      </c>
      <c r="E451" t="inlineStr">
        <is>
          <t>YDRE</t>
        </is>
      </c>
      <c r="G451" t="n">
        <v>1.6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50167-2018</t>
        </is>
      </c>
      <c r="B452" s="1" t="n">
        <v>43376</v>
      </c>
      <c r="C452" s="1" t="n">
        <v>45211</v>
      </c>
      <c r="D452" t="inlineStr">
        <is>
          <t>ÖSTERGÖTLANDS LÄN</t>
        </is>
      </c>
      <c r="E452" t="inlineStr">
        <is>
          <t>KINDA</t>
        </is>
      </c>
      <c r="G452" t="n">
        <v>2.3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49924-2018</t>
        </is>
      </c>
      <c r="B453" s="1" t="n">
        <v>43377</v>
      </c>
      <c r="C453" s="1" t="n">
        <v>45211</v>
      </c>
      <c r="D453" t="inlineStr">
        <is>
          <t>ÖSTERGÖTLANDS LÄN</t>
        </is>
      </c>
      <c r="E453" t="inlineStr">
        <is>
          <t>LINKÖPING</t>
        </is>
      </c>
      <c r="G453" t="n">
        <v>0.9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50201-2018</t>
        </is>
      </c>
      <c r="B454" s="1" t="n">
        <v>43378</v>
      </c>
      <c r="C454" s="1" t="n">
        <v>45211</v>
      </c>
      <c r="D454" t="inlineStr">
        <is>
          <t>ÖSTERGÖTLANDS LÄN</t>
        </is>
      </c>
      <c r="E454" t="inlineStr">
        <is>
          <t>ÖDESHÖG</t>
        </is>
      </c>
      <c r="G454" t="n">
        <v>5.7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50383-2018</t>
        </is>
      </c>
      <c r="B455" s="1" t="n">
        <v>43378</v>
      </c>
      <c r="C455" s="1" t="n">
        <v>45211</v>
      </c>
      <c r="D455" t="inlineStr">
        <is>
          <t>ÖSTERGÖTLANDS LÄN</t>
        </is>
      </c>
      <c r="E455" t="inlineStr">
        <is>
          <t>MJÖLBY</t>
        </is>
      </c>
      <c r="G455" t="n">
        <v>2.6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50166-2018</t>
        </is>
      </c>
      <c r="B456" s="1" t="n">
        <v>43378</v>
      </c>
      <c r="C456" s="1" t="n">
        <v>45211</v>
      </c>
      <c r="D456" t="inlineStr">
        <is>
          <t>ÖSTERGÖTLANDS LÄN</t>
        </is>
      </c>
      <c r="E456" t="inlineStr">
        <is>
          <t>ÖDESHÖG</t>
        </is>
      </c>
      <c r="G456" t="n">
        <v>2.9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50366-2018</t>
        </is>
      </c>
      <c r="B457" s="1" t="n">
        <v>43378</v>
      </c>
      <c r="C457" s="1" t="n">
        <v>45211</v>
      </c>
      <c r="D457" t="inlineStr">
        <is>
          <t>ÖSTERGÖTLANDS LÄN</t>
        </is>
      </c>
      <c r="E457" t="inlineStr">
        <is>
          <t>NORRKÖPING</t>
        </is>
      </c>
      <c r="G457" t="n">
        <v>2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50249-2018</t>
        </is>
      </c>
      <c r="B458" s="1" t="n">
        <v>43378</v>
      </c>
      <c r="C458" s="1" t="n">
        <v>45211</v>
      </c>
      <c r="D458" t="inlineStr">
        <is>
          <t>ÖSTERGÖTLANDS LÄN</t>
        </is>
      </c>
      <c r="E458" t="inlineStr">
        <is>
          <t>ÖDESHÖG</t>
        </is>
      </c>
      <c r="G458" t="n">
        <v>5.1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51385-2018</t>
        </is>
      </c>
      <c r="B459" s="1" t="n">
        <v>43380</v>
      </c>
      <c r="C459" s="1" t="n">
        <v>45211</v>
      </c>
      <c r="D459" t="inlineStr">
        <is>
          <t>ÖSTERGÖTLANDS LÄN</t>
        </is>
      </c>
      <c r="E459" t="inlineStr">
        <is>
          <t>BOXHOLM</t>
        </is>
      </c>
      <c r="G459" t="n">
        <v>1.7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50542-2018</t>
        </is>
      </c>
      <c r="B460" s="1" t="n">
        <v>43381</v>
      </c>
      <c r="C460" s="1" t="n">
        <v>45211</v>
      </c>
      <c r="D460" t="inlineStr">
        <is>
          <t>ÖSTERGÖTLANDS LÄN</t>
        </is>
      </c>
      <c r="E460" t="inlineStr">
        <is>
          <t>ÖDESHÖG</t>
        </is>
      </c>
      <c r="G460" t="n">
        <v>4.9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50589-2018</t>
        </is>
      </c>
      <c r="B461" s="1" t="n">
        <v>43381</v>
      </c>
      <c r="C461" s="1" t="n">
        <v>45211</v>
      </c>
      <c r="D461" t="inlineStr">
        <is>
          <t>ÖSTERGÖTLANDS LÄN</t>
        </is>
      </c>
      <c r="E461" t="inlineStr">
        <is>
          <t>YDRE</t>
        </is>
      </c>
      <c r="G461" t="n">
        <v>1.4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51628-2018</t>
        </is>
      </c>
      <c r="B462" s="1" t="n">
        <v>43381</v>
      </c>
      <c r="C462" s="1" t="n">
        <v>45211</v>
      </c>
      <c r="D462" t="inlineStr">
        <is>
          <t>ÖSTERGÖTLANDS LÄN</t>
        </is>
      </c>
      <c r="E462" t="inlineStr">
        <is>
          <t>MOTALA</t>
        </is>
      </c>
      <c r="G462" t="n">
        <v>5.4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52342-2018</t>
        </is>
      </c>
      <c r="B463" s="1" t="n">
        <v>43383</v>
      </c>
      <c r="C463" s="1" t="n">
        <v>45211</v>
      </c>
      <c r="D463" t="inlineStr">
        <is>
          <t>ÖSTERGÖTLANDS LÄN</t>
        </is>
      </c>
      <c r="E463" t="inlineStr">
        <is>
          <t>KINDA</t>
        </is>
      </c>
      <c r="G463" t="n">
        <v>1.4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51892-2018</t>
        </is>
      </c>
      <c r="B464" s="1" t="n">
        <v>43385</v>
      </c>
      <c r="C464" s="1" t="n">
        <v>45211</v>
      </c>
      <c r="D464" t="inlineStr">
        <is>
          <t>ÖSTERGÖTLANDS LÄN</t>
        </is>
      </c>
      <c r="E464" t="inlineStr">
        <is>
          <t>YDRE</t>
        </is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53736-2018</t>
        </is>
      </c>
      <c r="B465" s="1" t="n">
        <v>43385</v>
      </c>
      <c r="C465" s="1" t="n">
        <v>45211</v>
      </c>
      <c r="D465" t="inlineStr">
        <is>
          <t>ÖSTERGÖTLANDS LÄN</t>
        </is>
      </c>
      <c r="E465" t="inlineStr">
        <is>
          <t>KINDA</t>
        </is>
      </c>
      <c r="G465" t="n">
        <v>3.8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51891-2018</t>
        </is>
      </c>
      <c r="B466" s="1" t="n">
        <v>43385</v>
      </c>
      <c r="C466" s="1" t="n">
        <v>45211</v>
      </c>
      <c r="D466" t="inlineStr">
        <is>
          <t>ÖSTERGÖTLANDS LÄN</t>
        </is>
      </c>
      <c r="E466" t="inlineStr">
        <is>
          <t>YDRE</t>
        </is>
      </c>
      <c r="G466" t="n">
        <v>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52453-2018</t>
        </is>
      </c>
      <c r="B467" s="1" t="n">
        <v>43388</v>
      </c>
      <c r="C467" s="1" t="n">
        <v>45211</v>
      </c>
      <c r="D467" t="inlineStr">
        <is>
          <t>ÖSTERGÖTLANDS LÄN</t>
        </is>
      </c>
      <c r="E467" t="inlineStr">
        <is>
          <t>KINDA</t>
        </is>
      </c>
      <c r="G467" t="n">
        <v>3.9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52396-2018</t>
        </is>
      </c>
      <c r="B468" s="1" t="n">
        <v>43388</v>
      </c>
      <c r="C468" s="1" t="n">
        <v>45211</v>
      </c>
      <c r="D468" t="inlineStr">
        <is>
          <t>ÖSTERGÖTLANDS LÄN</t>
        </is>
      </c>
      <c r="E468" t="inlineStr">
        <is>
          <t>SÖDERKÖPING</t>
        </is>
      </c>
      <c r="G468" t="n">
        <v>2.9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53999-2018</t>
        </is>
      </c>
      <c r="B469" s="1" t="n">
        <v>43389</v>
      </c>
      <c r="C469" s="1" t="n">
        <v>45211</v>
      </c>
      <c r="D469" t="inlineStr">
        <is>
          <t>ÖSTERGÖTLANDS LÄN</t>
        </is>
      </c>
      <c r="E469" t="inlineStr">
        <is>
          <t>YDRE</t>
        </is>
      </c>
      <c r="G469" t="n">
        <v>1.9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54376-2018</t>
        </is>
      </c>
      <c r="B470" s="1" t="n">
        <v>43390</v>
      </c>
      <c r="C470" s="1" t="n">
        <v>45211</v>
      </c>
      <c r="D470" t="inlineStr">
        <is>
          <t>ÖSTERGÖTLANDS LÄN</t>
        </is>
      </c>
      <c r="E470" t="inlineStr">
        <is>
          <t>YDRE</t>
        </is>
      </c>
      <c r="G470" t="n">
        <v>3.8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54418-2018</t>
        </is>
      </c>
      <c r="B471" s="1" t="n">
        <v>43390</v>
      </c>
      <c r="C471" s="1" t="n">
        <v>45211</v>
      </c>
      <c r="D471" t="inlineStr">
        <is>
          <t>ÖSTERGÖTLANDS LÄN</t>
        </is>
      </c>
      <c r="E471" t="inlineStr">
        <is>
          <t>YDRE</t>
        </is>
      </c>
      <c r="G471" t="n">
        <v>1.7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53960-2018</t>
        </is>
      </c>
      <c r="B472" s="1" t="n">
        <v>43392</v>
      </c>
      <c r="C472" s="1" t="n">
        <v>45211</v>
      </c>
      <c r="D472" t="inlineStr">
        <is>
          <t>ÖSTERGÖTLANDS LÄN</t>
        </is>
      </c>
      <c r="E472" t="inlineStr">
        <is>
          <t>YDRE</t>
        </is>
      </c>
      <c r="G472" t="n">
        <v>2.6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54574-2018</t>
        </is>
      </c>
      <c r="B473" s="1" t="n">
        <v>43395</v>
      </c>
      <c r="C473" s="1" t="n">
        <v>45211</v>
      </c>
      <c r="D473" t="inlineStr">
        <is>
          <t>ÖSTERGÖTLANDS LÄN</t>
        </is>
      </c>
      <c r="E473" t="inlineStr">
        <is>
          <t>KINDA</t>
        </is>
      </c>
      <c r="G473" t="n">
        <v>4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57026-2018</t>
        </is>
      </c>
      <c r="B474" s="1" t="n">
        <v>43395</v>
      </c>
      <c r="C474" s="1" t="n">
        <v>45211</v>
      </c>
      <c r="D474" t="inlineStr">
        <is>
          <t>ÖSTERGÖTLANDS LÄN</t>
        </is>
      </c>
      <c r="E474" t="inlineStr">
        <is>
          <t>LINKÖPING</t>
        </is>
      </c>
      <c r="G474" t="n">
        <v>1.6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54557-2018</t>
        </is>
      </c>
      <c r="B475" s="1" t="n">
        <v>43395</v>
      </c>
      <c r="C475" s="1" t="n">
        <v>45211</v>
      </c>
      <c r="D475" t="inlineStr">
        <is>
          <t>ÖSTERGÖTLANDS LÄN</t>
        </is>
      </c>
      <c r="E475" t="inlineStr">
        <is>
          <t>KINDA</t>
        </is>
      </c>
      <c r="G475" t="n">
        <v>4.5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54987-2018</t>
        </is>
      </c>
      <c r="B476" s="1" t="n">
        <v>43396</v>
      </c>
      <c r="C476" s="1" t="n">
        <v>45211</v>
      </c>
      <c r="D476" t="inlineStr">
        <is>
          <t>ÖSTERGÖTLANDS LÄN</t>
        </is>
      </c>
      <c r="E476" t="inlineStr">
        <is>
          <t>LINKÖPING</t>
        </is>
      </c>
      <c r="F476" t="inlineStr">
        <is>
          <t>Kyrkan</t>
        </is>
      </c>
      <c r="G476" t="n">
        <v>4.2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57710-2018</t>
        </is>
      </c>
      <c r="B477" s="1" t="n">
        <v>43397</v>
      </c>
      <c r="C477" s="1" t="n">
        <v>45211</v>
      </c>
      <c r="D477" t="inlineStr">
        <is>
          <t>ÖSTERGÖTLANDS LÄN</t>
        </is>
      </c>
      <c r="E477" t="inlineStr">
        <is>
          <t>LINKÖPING</t>
        </is>
      </c>
      <c r="G477" t="n">
        <v>12.6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57861-2018</t>
        </is>
      </c>
      <c r="B478" s="1" t="n">
        <v>43397</v>
      </c>
      <c r="C478" s="1" t="n">
        <v>45211</v>
      </c>
      <c r="D478" t="inlineStr">
        <is>
          <t>ÖSTERGÖTLANDS LÄN</t>
        </is>
      </c>
      <c r="E478" t="inlineStr">
        <is>
          <t>FINSPÅNG</t>
        </is>
      </c>
      <c r="G478" t="n">
        <v>3.4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55647-2018</t>
        </is>
      </c>
      <c r="B479" s="1" t="n">
        <v>43398</v>
      </c>
      <c r="C479" s="1" t="n">
        <v>45211</v>
      </c>
      <c r="D479" t="inlineStr">
        <is>
          <t>ÖSTERGÖTLANDS LÄN</t>
        </is>
      </c>
      <c r="E479" t="inlineStr">
        <is>
          <t>ÅTVIDABERG</t>
        </is>
      </c>
      <c r="F479" t="inlineStr">
        <is>
          <t>Sveaskog</t>
        </is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56123-2018</t>
        </is>
      </c>
      <c r="B480" s="1" t="n">
        <v>43398</v>
      </c>
      <c r="C480" s="1" t="n">
        <v>45211</v>
      </c>
      <c r="D480" t="inlineStr">
        <is>
          <t>ÖSTERGÖTLANDS LÄN</t>
        </is>
      </c>
      <c r="E480" t="inlineStr">
        <is>
          <t>LINKÖPING</t>
        </is>
      </c>
      <c r="G480" t="n">
        <v>0.5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57876-2018</t>
        </is>
      </c>
      <c r="B481" s="1" t="n">
        <v>43398</v>
      </c>
      <c r="C481" s="1" t="n">
        <v>45211</v>
      </c>
      <c r="D481" t="inlineStr">
        <is>
          <t>ÖSTERGÖTLANDS LÄN</t>
        </is>
      </c>
      <c r="E481" t="inlineStr">
        <is>
          <t>MJÖLBY</t>
        </is>
      </c>
      <c r="G481" t="n">
        <v>1.3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55654-2018</t>
        </is>
      </c>
      <c r="B482" s="1" t="n">
        <v>43398</v>
      </c>
      <c r="C482" s="1" t="n">
        <v>45211</v>
      </c>
      <c r="D482" t="inlineStr">
        <is>
          <t>ÖSTERGÖTLANDS LÄN</t>
        </is>
      </c>
      <c r="E482" t="inlineStr">
        <is>
          <t>ÅTVIDABERG</t>
        </is>
      </c>
      <c r="F482" t="inlineStr">
        <is>
          <t>Sveaskog</t>
        </is>
      </c>
      <c r="G482" t="n">
        <v>0.6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55777-2018</t>
        </is>
      </c>
      <c r="B483" s="1" t="n">
        <v>43398</v>
      </c>
      <c r="C483" s="1" t="n">
        <v>45211</v>
      </c>
      <c r="D483" t="inlineStr">
        <is>
          <t>ÖSTERGÖTLANDS LÄN</t>
        </is>
      </c>
      <c r="E483" t="inlineStr">
        <is>
          <t>VALDEMARSVIK</t>
        </is>
      </c>
      <c r="G483" t="n">
        <v>6.5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56188-2018</t>
        </is>
      </c>
      <c r="B484" s="1" t="n">
        <v>43399</v>
      </c>
      <c r="C484" s="1" t="n">
        <v>45211</v>
      </c>
      <c r="D484" t="inlineStr">
        <is>
          <t>ÖSTERGÖTLANDS LÄN</t>
        </is>
      </c>
      <c r="E484" t="inlineStr">
        <is>
          <t>YDRE</t>
        </is>
      </c>
      <c r="G484" t="n">
        <v>0.5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58494-2018</t>
        </is>
      </c>
      <c r="B485" s="1" t="n">
        <v>43399</v>
      </c>
      <c r="C485" s="1" t="n">
        <v>45211</v>
      </c>
      <c r="D485" t="inlineStr">
        <is>
          <t>ÖSTERGÖTLANDS LÄN</t>
        </is>
      </c>
      <c r="E485" t="inlineStr">
        <is>
          <t>MJÖLBY</t>
        </is>
      </c>
      <c r="G485" t="n">
        <v>3.4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56233-2018</t>
        </is>
      </c>
      <c r="B486" s="1" t="n">
        <v>43399</v>
      </c>
      <c r="C486" s="1" t="n">
        <v>45211</v>
      </c>
      <c r="D486" t="inlineStr">
        <is>
          <t>ÖSTERGÖTLANDS LÄN</t>
        </is>
      </c>
      <c r="E486" t="inlineStr">
        <is>
          <t>FINSPÅNG</t>
        </is>
      </c>
      <c r="G486" t="n">
        <v>2.1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56803-2018</t>
        </is>
      </c>
      <c r="B487" s="1" t="n">
        <v>43402</v>
      </c>
      <c r="C487" s="1" t="n">
        <v>45211</v>
      </c>
      <c r="D487" t="inlineStr">
        <is>
          <t>ÖSTERGÖTLANDS LÄN</t>
        </is>
      </c>
      <c r="E487" t="inlineStr">
        <is>
          <t>KINDA</t>
        </is>
      </c>
      <c r="G487" t="n">
        <v>9.9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56806-2018</t>
        </is>
      </c>
      <c r="B488" s="1" t="n">
        <v>43402</v>
      </c>
      <c r="C488" s="1" t="n">
        <v>45211</v>
      </c>
      <c r="D488" t="inlineStr">
        <is>
          <t>ÖSTERGÖTLANDS LÄN</t>
        </is>
      </c>
      <c r="E488" t="inlineStr">
        <is>
          <t>KINDA</t>
        </is>
      </c>
      <c r="G488" t="n">
        <v>3.8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56852-2018</t>
        </is>
      </c>
      <c r="B489" s="1" t="n">
        <v>43402</v>
      </c>
      <c r="C489" s="1" t="n">
        <v>45211</v>
      </c>
      <c r="D489" t="inlineStr">
        <is>
          <t>ÖSTERGÖTLANDS LÄN</t>
        </is>
      </c>
      <c r="E489" t="inlineStr">
        <is>
          <t>FINSPÅNG</t>
        </is>
      </c>
      <c r="G489" t="n">
        <v>0.8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56797-2018</t>
        </is>
      </c>
      <c r="B490" s="1" t="n">
        <v>43402</v>
      </c>
      <c r="C490" s="1" t="n">
        <v>45211</v>
      </c>
      <c r="D490" t="inlineStr">
        <is>
          <t>ÖSTERGÖTLANDS LÄN</t>
        </is>
      </c>
      <c r="E490" t="inlineStr">
        <is>
          <t>KINDA</t>
        </is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59261-2018</t>
        </is>
      </c>
      <c r="B491" s="1" t="n">
        <v>43402</v>
      </c>
      <c r="C491" s="1" t="n">
        <v>45211</v>
      </c>
      <c r="D491" t="inlineStr">
        <is>
          <t>ÖSTERGÖTLANDS LÄN</t>
        </is>
      </c>
      <c r="E491" t="inlineStr">
        <is>
          <t>KINDA</t>
        </is>
      </c>
      <c r="G491" t="n">
        <v>2.2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56807-2018</t>
        </is>
      </c>
      <c r="B492" s="1" t="n">
        <v>43402</v>
      </c>
      <c r="C492" s="1" t="n">
        <v>45211</v>
      </c>
      <c r="D492" t="inlineStr">
        <is>
          <t>ÖSTERGÖTLANDS LÄN</t>
        </is>
      </c>
      <c r="E492" t="inlineStr">
        <is>
          <t>KINDA</t>
        </is>
      </c>
      <c r="G492" t="n">
        <v>4.3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56866-2018</t>
        </is>
      </c>
      <c r="B493" s="1" t="n">
        <v>43403</v>
      </c>
      <c r="C493" s="1" t="n">
        <v>45211</v>
      </c>
      <c r="D493" t="inlineStr">
        <is>
          <t>ÖSTERGÖTLANDS LÄN</t>
        </is>
      </c>
      <c r="E493" t="inlineStr">
        <is>
          <t>ÅTVIDABERG</t>
        </is>
      </c>
      <c r="G493" t="n">
        <v>0.8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59568-2018</t>
        </is>
      </c>
      <c r="B494" s="1" t="n">
        <v>43403</v>
      </c>
      <c r="C494" s="1" t="n">
        <v>45211</v>
      </c>
      <c r="D494" t="inlineStr">
        <is>
          <t>ÖSTERGÖTLANDS LÄN</t>
        </is>
      </c>
      <c r="E494" t="inlineStr">
        <is>
          <t>YDRE</t>
        </is>
      </c>
      <c r="G494" t="n">
        <v>1.3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57177-2018</t>
        </is>
      </c>
      <c r="B495" s="1" t="n">
        <v>43403</v>
      </c>
      <c r="C495" s="1" t="n">
        <v>45211</v>
      </c>
      <c r="D495" t="inlineStr">
        <is>
          <t>ÖSTERGÖTLANDS LÄN</t>
        </is>
      </c>
      <c r="E495" t="inlineStr">
        <is>
          <t>LINKÖPING</t>
        </is>
      </c>
      <c r="G495" t="n">
        <v>2.5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59182-2018</t>
        </is>
      </c>
      <c r="B496" s="1" t="n">
        <v>43403</v>
      </c>
      <c r="C496" s="1" t="n">
        <v>45211</v>
      </c>
      <c r="D496" t="inlineStr">
        <is>
          <t>ÖSTERGÖTLANDS LÄN</t>
        </is>
      </c>
      <c r="E496" t="inlineStr">
        <is>
          <t>ÖDESHÖG</t>
        </is>
      </c>
      <c r="G496" t="n">
        <v>5.3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60461-2018</t>
        </is>
      </c>
      <c r="B497" s="1" t="n">
        <v>43403</v>
      </c>
      <c r="C497" s="1" t="n">
        <v>45211</v>
      </c>
      <c r="D497" t="inlineStr">
        <is>
          <t>ÖSTERGÖTLANDS LÄN</t>
        </is>
      </c>
      <c r="E497" t="inlineStr">
        <is>
          <t>YDRE</t>
        </is>
      </c>
      <c r="G497" t="n">
        <v>0.5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60522-2018</t>
        </is>
      </c>
      <c r="B498" s="1" t="n">
        <v>43405</v>
      </c>
      <c r="C498" s="1" t="n">
        <v>45211</v>
      </c>
      <c r="D498" t="inlineStr">
        <is>
          <t>ÖSTERGÖTLANDS LÄN</t>
        </is>
      </c>
      <c r="E498" t="inlineStr">
        <is>
          <t>MOTALA</t>
        </is>
      </c>
      <c r="G498" t="n">
        <v>10.2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57761-2018</t>
        </is>
      </c>
      <c r="B499" s="1" t="n">
        <v>43405</v>
      </c>
      <c r="C499" s="1" t="n">
        <v>45211</v>
      </c>
      <c r="D499" t="inlineStr">
        <is>
          <t>ÖSTERGÖTLANDS LÄN</t>
        </is>
      </c>
      <c r="E499" t="inlineStr">
        <is>
          <t>NORRKÖPING</t>
        </is>
      </c>
      <c r="F499" t="inlineStr">
        <is>
          <t>Holmen skog AB</t>
        </is>
      </c>
      <c r="G499" t="n">
        <v>7.1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58141-2018</t>
        </is>
      </c>
      <c r="B500" s="1" t="n">
        <v>43406</v>
      </c>
      <c r="C500" s="1" t="n">
        <v>45211</v>
      </c>
      <c r="D500" t="inlineStr">
        <is>
          <t>ÖSTERGÖTLANDS LÄN</t>
        </is>
      </c>
      <c r="E500" t="inlineStr">
        <is>
          <t>MOTALA</t>
        </is>
      </c>
      <c r="F500" t="inlineStr">
        <is>
          <t>Kyrkan</t>
        </is>
      </c>
      <c r="G500" t="n">
        <v>12.5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60512-2018</t>
        </is>
      </c>
      <c r="B501" s="1" t="n">
        <v>43406</v>
      </c>
      <c r="C501" s="1" t="n">
        <v>45211</v>
      </c>
      <c r="D501" t="inlineStr">
        <is>
          <t>ÖSTERGÖTLANDS LÄN</t>
        </is>
      </c>
      <c r="E501" t="inlineStr">
        <is>
          <t>SÖDERKÖPING</t>
        </is>
      </c>
      <c r="G501" t="n">
        <v>0.8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58158-2018</t>
        </is>
      </c>
      <c r="B502" s="1" t="n">
        <v>43406</v>
      </c>
      <c r="C502" s="1" t="n">
        <v>45211</v>
      </c>
      <c r="D502" t="inlineStr">
        <is>
          <t>ÖSTERGÖTLANDS LÄN</t>
        </is>
      </c>
      <c r="E502" t="inlineStr">
        <is>
          <t>KINDA</t>
        </is>
      </c>
      <c r="G502" t="n">
        <v>9.6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58206-2018</t>
        </is>
      </c>
      <c r="B503" s="1" t="n">
        <v>43408</v>
      </c>
      <c r="C503" s="1" t="n">
        <v>45211</v>
      </c>
      <c r="D503" t="inlineStr">
        <is>
          <t>ÖSTERGÖTLANDS LÄN</t>
        </is>
      </c>
      <c r="E503" t="inlineStr">
        <is>
          <t>SÖDERKÖPING</t>
        </is>
      </c>
      <c r="G503" t="n">
        <v>0.2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58208-2018</t>
        </is>
      </c>
      <c r="B504" s="1" t="n">
        <v>43408</v>
      </c>
      <c r="C504" s="1" t="n">
        <v>45211</v>
      </c>
      <c r="D504" t="inlineStr">
        <is>
          <t>ÖSTERGÖTLANDS LÄN</t>
        </is>
      </c>
      <c r="E504" t="inlineStr">
        <is>
          <t>SÖDERKÖPING</t>
        </is>
      </c>
      <c r="G504" t="n">
        <v>0.2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58525-2018</t>
        </is>
      </c>
      <c r="B505" s="1" t="n">
        <v>43409</v>
      </c>
      <c r="C505" s="1" t="n">
        <v>45211</v>
      </c>
      <c r="D505" t="inlineStr">
        <is>
          <t>ÖSTERGÖTLANDS LÄN</t>
        </is>
      </c>
      <c r="E505" t="inlineStr">
        <is>
          <t>FINSPÅNG</t>
        </is>
      </c>
      <c r="G505" t="n">
        <v>2.9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58523-2018</t>
        </is>
      </c>
      <c r="B506" s="1" t="n">
        <v>43409</v>
      </c>
      <c r="C506" s="1" t="n">
        <v>45211</v>
      </c>
      <c r="D506" t="inlineStr">
        <is>
          <t>ÖSTERGÖTLANDS LÄN</t>
        </is>
      </c>
      <c r="E506" t="inlineStr">
        <is>
          <t>FINSPÅNG</t>
        </is>
      </c>
      <c r="G506" t="n">
        <v>2.4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58536-2018</t>
        </is>
      </c>
      <c r="B507" s="1" t="n">
        <v>43409</v>
      </c>
      <c r="C507" s="1" t="n">
        <v>45211</v>
      </c>
      <c r="D507" t="inlineStr">
        <is>
          <t>ÖSTERGÖTLANDS LÄN</t>
        </is>
      </c>
      <c r="E507" t="inlineStr">
        <is>
          <t>FINSPÅNG</t>
        </is>
      </c>
      <c r="G507" t="n">
        <v>0.9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60753-2018</t>
        </is>
      </c>
      <c r="B508" s="1" t="n">
        <v>43409</v>
      </c>
      <c r="C508" s="1" t="n">
        <v>45211</v>
      </c>
      <c r="D508" t="inlineStr">
        <is>
          <t>ÖSTERGÖTLANDS LÄN</t>
        </is>
      </c>
      <c r="E508" t="inlineStr">
        <is>
          <t>NORRKÖPING</t>
        </is>
      </c>
      <c r="G508" t="n">
        <v>5.7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58379-2018</t>
        </is>
      </c>
      <c r="B509" s="1" t="n">
        <v>43409</v>
      </c>
      <c r="C509" s="1" t="n">
        <v>45211</v>
      </c>
      <c r="D509" t="inlineStr">
        <is>
          <t>ÖSTERGÖTLANDS LÄN</t>
        </is>
      </c>
      <c r="E509" t="inlineStr">
        <is>
          <t>FINSPÅNG</t>
        </is>
      </c>
      <c r="G509" t="n">
        <v>2.8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58524-2018</t>
        </is>
      </c>
      <c r="B510" s="1" t="n">
        <v>43409</v>
      </c>
      <c r="C510" s="1" t="n">
        <v>45211</v>
      </c>
      <c r="D510" t="inlineStr">
        <is>
          <t>ÖSTERGÖTLANDS LÄN</t>
        </is>
      </c>
      <c r="E510" t="inlineStr">
        <is>
          <t>FINSPÅNG</t>
        </is>
      </c>
      <c r="G510" t="n">
        <v>2.1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58538-2018</t>
        </is>
      </c>
      <c r="B511" s="1" t="n">
        <v>43409</v>
      </c>
      <c r="C511" s="1" t="n">
        <v>45211</v>
      </c>
      <c r="D511" t="inlineStr">
        <is>
          <t>ÖSTERGÖTLANDS LÄN</t>
        </is>
      </c>
      <c r="E511" t="inlineStr">
        <is>
          <t>FINSPÅNG</t>
        </is>
      </c>
      <c r="G511" t="n">
        <v>4.4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60754-2018</t>
        </is>
      </c>
      <c r="B512" s="1" t="n">
        <v>43409</v>
      </c>
      <c r="C512" s="1" t="n">
        <v>45211</v>
      </c>
      <c r="D512" t="inlineStr">
        <is>
          <t>ÖSTERGÖTLANDS LÄN</t>
        </is>
      </c>
      <c r="E512" t="inlineStr">
        <is>
          <t>NORRKÖPING</t>
        </is>
      </c>
      <c r="G512" t="n">
        <v>9.800000000000001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58383-2018</t>
        </is>
      </c>
      <c r="B513" s="1" t="n">
        <v>43409</v>
      </c>
      <c r="C513" s="1" t="n">
        <v>45211</v>
      </c>
      <c r="D513" t="inlineStr">
        <is>
          <t>ÖSTERGÖTLANDS LÄN</t>
        </is>
      </c>
      <c r="E513" t="inlineStr">
        <is>
          <t>FINSPÅNG</t>
        </is>
      </c>
      <c r="G513" t="n">
        <v>1.1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58458-2018</t>
        </is>
      </c>
      <c r="B514" s="1" t="n">
        <v>43409</v>
      </c>
      <c r="C514" s="1" t="n">
        <v>45211</v>
      </c>
      <c r="D514" t="inlineStr">
        <is>
          <t>ÖSTERGÖTLANDS LÄN</t>
        </is>
      </c>
      <c r="E514" t="inlineStr">
        <is>
          <t>MOTALA</t>
        </is>
      </c>
      <c r="G514" t="n">
        <v>1.9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58526-2018</t>
        </is>
      </c>
      <c r="B515" s="1" t="n">
        <v>43409</v>
      </c>
      <c r="C515" s="1" t="n">
        <v>45211</v>
      </c>
      <c r="D515" t="inlineStr">
        <is>
          <t>ÖSTERGÖTLANDS LÄN</t>
        </is>
      </c>
      <c r="E515" t="inlineStr">
        <is>
          <t>FINSPÅNG</t>
        </is>
      </c>
      <c r="G515" t="n">
        <v>0.8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60752-2018</t>
        </is>
      </c>
      <c r="B516" s="1" t="n">
        <v>43409</v>
      </c>
      <c r="C516" s="1" t="n">
        <v>45211</v>
      </c>
      <c r="D516" t="inlineStr">
        <is>
          <t>ÖSTERGÖTLANDS LÄN</t>
        </is>
      </c>
      <c r="E516" t="inlineStr">
        <is>
          <t>NORRKÖPING</t>
        </is>
      </c>
      <c r="G516" t="n">
        <v>2.4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58387-2018</t>
        </is>
      </c>
      <c r="B517" s="1" t="n">
        <v>43409</v>
      </c>
      <c r="C517" s="1" t="n">
        <v>45211</v>
      </c>
      <c r="D517" t="inlineStr">
        <is>
          <t>ÖSTERGÖTLANDS LÄN</t>
        </is>
      </c>
      <c r="E517" t="inlineStr">
        <is>
          <t>FINSPÅNG</t>
        </is>
      </c>
      <c r="G517" t="n">
        <v>2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58846-2018</t>
        </is>
      </c>
      <c r="B518" s="1" t="n">
        <v>43410</v>
      </c>
      <c r="C518" s="1" t="n">
        <v>45211</v>
      </c>
      <c r="D518" t="inlineStr">
        <is>
          <t>ÖSTERGÖTLANDS LÄN</t>
        </is>
      </c>
      <c r="E518" t="inlineStr">
        <is>
          <t>ÅTVIDABERG</t>
        </is>
      </c>
      <c r="F518" t="inlineStr">
        <is>
          <t>Övriga Aktiebolag</t>
        </is>
      </c>
      <c r="G518" t="n">
        <v>2.1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59727-2018</t>
        </is>
      </c>
      <c r="B519" s="1" t="n">
        <v>43411</v>
      </c>
      <c r="C519" s="1" t="n">
        <v>45211</v>
      </c>
      <c r="D519" t="inlineStr">
        <is>
          <t>ÖSTERGÖTLANDS LÄN</t>
        </is>
      </c>
      <c r="E519" t="inlineStr">
        <is>
          <t>VALDEMARSVIK</t>
        </is>
      </c>
      <c r="G519" t="n">
        <v>3.4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59964-2018</t>
        </is>
      </c>
      <c r="B520" s="1" t="n">
        <v>43411</v>
      </c>
      <c r="C520" s="1" t="n">
        <v>45211</v>
      </c>
      <c r="D520" t="inlineStr">
        <is>
          <t>ÖSTERGÖTLANDS LÄN</t>
        </is>
      </c>
      <c r="E520" t="inlineStr">
        <is>
          <t>ÖDESHÖG</t>
        </is>
      </c>
      <c r="G520" t="n">
        <v>1.9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60900-2018</t>
        </is>
      </c>
      <c r="B521" s="1" t="n">
        <v>43411</v>
      </c>
      <c r="C521" s="1" t="n">
        <v>45211</v>
      </c>
      <c r="D521" t="inlineStr">
        <is>
          <t>ÖSTERGÖTLANDS LÄN</t>
        </is>
      </c>
      <c r="E521" t="inlineStr">
        <is>
          <t>NORRKÖPING</t>
        </is>
      </c>
      <c r="F521" t="inlineStr">
        <is>
          <t>Allmännings- och besparingsskogar</t>
        </is>
      </c>
      <c r="G521" t="n">
        <v>1.9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60927-2018</t>
        </is>
      </c>
      <c r="B522" s="1" t="n">
        <v>43411</v>
      </c>
      <c r="C522" s="1" t="n">
        <v>45211</v>
      </c>
      <c r="D522" t="inlineStr">
        <is>
          <t>ÖSTERGÖTLANDS LÄN</t>
        </is>
      </c>
      <c r="E522" t="inlineStr">
        <is>
          <t>YDRE</t>
        </is>
      </c>
      <c r="G522" t="n">
        <v>4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59963-2018</t>
        </is>
      </c>
      <c r="B523" s="1" t="n">
        <v>43411</v>
      </c>
      <c r="C523" s="1" t="n">
        <v>45211</v>
      </c>
      <c r="D523" t="inlineStr">
        <is>
          <t>ÖSTERGÖTLANDS LÄN</t>
        </is>
      </c>
      <c r="E523" t="inlineStr">
        <is>
          <t>ÖDESHÖG</t>
        </is>
      </c>
      <c r="G523" t="n">
        <v>1.1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60972-2018</t>
        </is>
      </c>
      <c r="B524" s="1" t="n">
        <v>43411</v>
      </c>
      <c r="C524" s="1" t="n">
        <v>45211</v>
      </c>
      <c r="D524" t="inlineStr">
        <is>
          <t>ÖSTERGÖTLANDS LÄN</t>
        </is>
      </c>
      <c r="E524" t="inlineStr">
        <is>
          <t>YDRE</t>
        </is>
      </c>
      <c r="G524" t="n">
        <v>1.3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58970-2018</t>
        </is>
      </c>
      <c r="B525" s="1" t="n">
        <v>43411</v>
      </c>
      <c r="C525" s="1" t="n">
        <v>45211</v>
      </c>
      <c r="D525" t="inlineStr">
        <is>
          <t>ÖSTERGÖTLANDS LÄN</t>
        </is>
      </c>
      <c r="E525" t="inlineStr">
        <is>
          <t>KINDA</t>
        </is>
      </c>
      <c r="G525" t="n">
        <v>2.1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59808-2018</t>
        </is>
      </c>
      <c r="B526" s="1" t="n">
        <v>43411</v>
      </c>
      <c r="C526" s="1" t="n">
        <v>45211</v>
      </c>
      <c r="D526" t="inlineStr">
        <is>
          <t>ÖSTERGÖTLANDS LÄN</t>
        </is>
      </c>
      <c r="E526" t="inlineStr">
        <is>
          <t>ÅTVIDABERG</t>
        </is>
      </c>
      <c r="G526" t="n">
        <v>2.3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59959-2018</t>
        </is>
      </c>
      <c r="B527" s="1" t="n">
        <v>43411</v>
      </c>
      <c r="C527" s="1" t="n">
        <v>45211</v>
      </c>
      <c r="D527" t="inlineStr">
        <is>
          <t>ÖSTERGÖTLANDS LÄN</t>
        </is>
      </c>
      <c r="E527" t="inlineStr">
        <is>
          <t>NORRKÖPING</t>
        </is>
      </c>
      <c r="G527" t="n">
        <v>4.1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59965-2018</t>
        </is>
      </c>
      <c r="B528" s="1" t="n">
        <v>43411</v>
      </c>
      <c r="C528" s="1" t="n">
        <v>45211</v>
      </c>
      <c r="D528" t="inlineStr">
        <is>
          <t>ÖSTERGÖTLANDS LÄN</t>
        </is>
      </c>
      <c r="E528" t="inlineStr">
        <is>
          <t>NORRKÖPING</t>
        </is>
      </c>
      <c r="G528" t="n">
        <v>1.4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60962-2018</t>
        </is>
      </c>
      <c r="B529" s="1" t="n">
        <v>43411</v>
      </c>
      <c r="C529" s="1" t="n">
        <v>45211</v>
      </c>
      <c r="D529" t="inlineStr">
        <is>
          <t>ÖSTERGÖTLANDS LÄN</t>
        </is>
      </c>
      <c r="E529" t="inlineStr">
        <is>
          <t>YDRE</t>
        </is>
      </c>
      <c r="G529" t="n">
        <v>2.7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60114-2018</t>
        </is>
      </c>
      <c r="B530" s="1" t="n">
        <v>43412</v>
      </c>
      <c r="C530" s="1" t="n">
        <v>45211</v>
      </c>
      <c r="D530" t="inlineStr">
        <is>
          <t>ÖSTERGÖTLANDS LÄN</t>
        </is>
      </c>
      <c r="E530" t="inlineStr">
        <is>
          <t>KINDA</t>
        </is>
      </c>
      <c r="G530" t="n">
        <v>3.3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60026-2018</t>
        </is>
      </c>
      <c r="B531" s="1" t="n">
        <v>43412</v>
      </c>
      <c r="C531" s="1" t="n">
        <v>45211</v>
      </c>
      <c r="D531" t="inlineStr">
        <is>
          <t>ÖSTERGÖTLANDS LÄN</t>
        </is>
      </c>
      <c r="E531" t="inlineStr">
        <is>
          <t>ÖDESHÖG</t>
        </is>
      </c>
      <c r="G531" t="n">
        <v>1.9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60261-2018</t>
        </is>
      </c>
      <c r="B532" s="1" t="n">
        <v>43412</v>
      </c>
      <c r="C532" s="1" t="n">
        <v>45211</v>
      </c>
      <c r="D532" t="inlineStr">
        <is>
          <t>ÖSTERGÖTLANDS LÄN</t>
        </is>
      </c>
      <c r="E532" t="inlineStr">
        <is>
          <t>VALDEMARSVIK</t>
        </is>
      </c>
      <c r="G532" t="n">
        <v>3.4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60018-2018</t>
        </is>
      </c>
      <c r="B533" s="1" t="n">
        <v>43412</v>
      </c>
      <c r="C533" s="1" t="n">
        <v>45211</v>
      </c>
      <c r="D533" t="inlineStr">
        <is>
          <t>ÖSTERGÖTLANDS LÄN</t>
        </is>
      </c>
      <c r="E533" t="inlineStr">
        <is>
          <t>ÖDESHÖG</t>
        </is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60123-2018</t>
        </is>
      </c>
      <c r="B534" s="1" t="n">
        <v>43412</v>
      </c>
      <c r="C534" s="1" t="n">
        <v>45211</v>
      </c>
      <c r="D534" t="inlineStr">
        <is>
          <t>ÖSTERGÖTLANDS LÄN</t>
        </is>
      </c>
      <c r="E534" t="inlineStr">
        <is>
          <t>YDRE</t>
        </is>
      </c>
      <c r="G534" t="n">
        <v>5.8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60156-2018</t>
        </is>
      </c>
      <c r="B535" s="1" t="n">
        <v>43413</v>
      </c>
      <c r="C535" s="1" t="n">
        <v>45211</v>
      </c>
      <c r="D535" t="inlineStr">
        <is>
          <t>ÖSTERGÖTLANDS LÄN</t>
        </is>
      </c>
      <c r="E535" t="inlineStr">
        <is>
          <t>BOXHOLM</t>
        </is>
      </c>
      <c r="F535" t="inlineStr">
        <is>
          <t>Övriga Aktiebolag</t>
        </is>
      </c>
      <c r="G535" t="n">
        <v>2.6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61551-2018</t>
        </is>
      </c>
      <c r="B536" s="1" t="n">
        <v>43413</v>
      </c>
      <c r="C536" s="1" t="n">
        <v>45211</v>
      </c>
      <c r="D536" t="inlineStr">
        <is>
          <t>ÖSTERGÖTLANDS LÄN</t>
        </is>
      </c>
      <c r="E536" t="inlineStr">
        <is>
          <t>FINSPÅNG</t>
        </is>
      </c>
      <c r="F536" t="inlineStr">
        <is>
          <t>Övriga Aktiebolag</t>
        </is>
      </c>
      <c r="G536" t="n">
        <v>14.4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62730-2018</t>
        </is>
      </c>
      <c r="B537" s="1" t="n">
        <v>43413</v>
      </c>
      <c r="C537" s="1" t="n">
        <v>45211</v>
      </c>
      <c r="D537" t="inlineStr">
        <is>
          <t>ÖSTERGÖTLANDS LÄN</t>
        </is>
      </c>
      <c r="E537" t="inlineStr">
        <is>
          <t>SÖDERKÖPING</t>
        </is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62754-2018</t>
        </is>
      </c>
      <c r="B538" s="1" t="n">
        <v>43413</v>
      </c>
      <c r="C538" s="1" t="n">
        <v>45211</v>
      </c>
      <c r="D538" t="inlineStr">
        <is>
          <t>ÖSTERGÖTLANDS LÄN</t>
        </is>
      </c>
      <c r="E538" t="inlineStr">
        <is>
          <t>NORRKÖPING</t>
        </is>
      </c>
      <c r="G538" t="n">
        <v>1.5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62507-2018</t>
        </is>
      </c>
      <c r="B539" s="1" t="n">
        <v>43414</v>
      </c>
      <c r="C539" s="1" t="n">
        <v>45211</v>
      </c>
      <c r="D539" t="inlineStr">
        <is>
          <t>ÖSTERGÖTLANDS LÄN</t>
        </is>
      </c>
      <c r="E539" t="inlineStr">
        <is>
          <t>KINDA</t>
        </is>
      </c>
      <c r="G539" t="n">
        <v>1.2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62470-2018</t>
        </is>
      </c>
      <c r="B540" s="1" t="n">
        <v>43415</v>
      </c>
      <c r="C540" s="1" t="n">
        <v>45211</v>
      </c>
      <c r="D540" t="inlineStr">
        <is>
          <t>ÖSTERGÖTLANDS LÄN</t>
        </is>
      </c>
      <c r="E540" t="inlineStr">
        <is>
          <t>FINSPÅNG</t>
        </is>
      </c>
      <c r="G540" t="n">
        <v>1.1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62473-2018</t>
        </is>
      </c>
      <c r="B541" s="1" t="n">
        <v>43415</v>
      </c>
      <c r="C541" s="1" t="n">
        <v>45211</v>
      </c>
      <c r="D541" t="inlineStr">
        <is>
          <t>ÖSTERGÖTLANDS LÄN</t>
        </is>
      </c>
      <c r="E541" t="inlineStr">
        <is>
          <t>FINSPÅNG</t>
        </is>
      </c>
      <c r="G541" t="n">
        <v>1.3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62048-2018</t>
        </is>
      </c>
      <c r="B542" s="1" t="n">
        <v>43416</v>
      </c>
      <c r="C542" s="1" t="n">
        <v>45211</v>
      </c>
      <c r="D542" t="inlineStr">
        <is>
          <t>ÖSTERGÖTLANDS LÄN</t>
        </is>
      </c>
      <c r="E542" t="inlineStr">
        <is>
          <t>NORRKÖPING</t>
        </is>
      </c>
      <c r="G542" t="n">
        <v>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62337-2018</t>
        </is>
      </c>
      <c r="B543" s="1" t="n">
        <v>43416</v>
      </c>
      <c r="C543" s="1" t="n">
        <v>45211</v>
      </c>
      <c r="D543" t="inlineStr">
        <is>
          <t>ÖSTERGÖTLANDS LÄN</t>
        </is>
      </c>
      <c r="E543" t="inlineStr">
        <is>
          <t>NORRKÖPING</t>
        </is>
      </c>
      <c r="G543" t="n">
        <v>10.5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63400-2018</t>
        </is>
      </c>
      <c r="B544" s="1" t="n">
        <v>43416</v>
      </c>
      <c r="C544" s="1" t="n">
        <v>45211</v>
      </c>
      <c r="D544" t="inlineStr">
        <is>
          <t>ÖSTERGÖTLANDS LÄN</t>
        </is>
      </c>
      <c r="E544" t="inlineStr">
        <is>
          <t>NORRKÖPING</t>
        </is>
      </c>
      <c r="F544" t="inlineStr">
        <is>
          <t>Allmännings- och besparingsskogar</t>
        </is>
      </c>
      <c r="G544" t="n">
        <v>13.5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62084-2018</t>
        </is>
      </c>
      <c r="B545" s="1" t="n">
        <v>43416</v>
      </c>
      <c r="C545" s="1" t="n">
        <v>45211</v>
      </c>
      <c r="D545" t="inlineStr">
        <is>
          <t>ÖSTERGÖTLANDS LÄN</t>
        </is>
      </c>
      <c r="E545" t="inlineStr">
        <is>
          <t>VALDEMARSVIK</t>
        </is>
      </c>
      <c r="G545" t="n">
        <v>1.8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62334-2018</t>
        </is>
      </c>
      <c r="B546" s="1" t="n">
        <v>43416</v>
      </c>
      <c r="C546" s="1" t="n">
        <v>45211</v>
      </c>
      <c r="D546" t="inlineStr">
        <is>
          <t>ÖSTERGÖTLANDS LÄN</t>
        </is>
      </c>
      <c r="E546" t="inlineStr">
        <is>
          <t>NORRKÖPING</t>
        </is>
      </c>
      <c r="G546" t="n">
        <v>1.7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62416-2018</t>
        </is>
      </c>
      <c r="B547" s="1" t="n">
        <v>43416</v>
      </c>
      <c r="C547" s="1" t="n">
        <v>45211</v>
      </c>
      <c r="D547" t="inlineStr">
        <is>
          <t>ÖSTERGÖTLANDS LÄN</t>
        </is>
      </c>
      <c r="E547" t="inlineStr">
        <is>
          <t>ÖDESHÖG</t>
        </is>
      </c>
      <c r="G547" t="n">
        <v>0.8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62022-2018</t>
        </is>
      </c>
      <c r="B548" s="1" t="n">
        <v>43416</v>
      </c>
      <c r="C548" s="1" t="n">
        <v>45211</v>
      </c>
      <c r="D548" t="inlineStr">
        <is>
          <t>ÖSTERGÖTLANDS LÄN</t>
        </is>
      </c>
      <c r="E548" t="inlineStr">
        <is>
          <t>YDRE</t>
        </is>
      </c>
      <c r="G548" t="n">
        <v>10.9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62086-2018</t>
        </is>
      </c>
      <c r="B549" s="1" t="n">
        <v>43416</v>
      </c>
      <c r="C549" s="1" t="n">
        <v>45211</v>
      </c>
      <c r="D549" t="inlineStr">
        <is>
          <t>ÖSTERGÖTLANDS LÄN</t>
        </is>
      </c>
      <c r="E549" t="inlineStr">
        <is>
          <t>VALDEMARSVIK</t>
        </is>
      </c>
      <c r="G549" t="n">
        <v>1.2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62411-2018</t>
        </is>
      </c>
      <c r="B550" s="1" t="n">
        <v>43416</v>
      </c>
      <c r="C550" s="1" t="n">
        <v>45211</v>
      </c>
      <c r="D550" t="inlineStr">
        <is>
          <t>ÖSTERGÖTLANDS LÄN</t>
        </is>
      </c>
      <c r="E550" t="inlineStr">
        <is>
          <t>ÖDESHÖG</t>
        </is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62962-2018</t>
        </is>
      </c>
      <c r="B551" s="1" t="n">
        <v>43417</v>
      </c>
      <c r="C551" s="1" t="n">
        <v>45211</v>
      </c>
      <c r="D551" t="inlineStr">
        <is>
          <t>ÖSTERGÖTLANDS LÄN</t>
        </is>
      </c>
      <c r="E551" t="inlineStr">
        <is>
          <t>LINKÖPING</t>
        </is>
      </c>
      <c r="G551" t="n">
        <v>1.8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62971-2018</t>
        </is>
      </c>
      <c r="B552" s="1" t="n">
        <v>43417</v>
      </c>
      <c r="C552" s="1" t="n">
        <v>45211</v>
      </c>
      <c r="D552" t="inlineStr">
        <is>
          <t>ÖSTERGÖTLANDS LÄN</t>
        </is>
      </c>
      <c r="E552" t="inlineStr">
        <is>
          <t>LINKÖPING</t>
        </is>
      </c>
      <c r="G552" t="n">
        <v>0.7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63018-2018</t>
        </is>
      </c>
      <c r="B553" s="1" t="n">
        <v>43417</v>
      </c>
      <c r="C553" s="1" t="n">
        <v>45211</v>
      </c>
      <c r="D553" t="inlineStr">
        <is>
          <t>ÖSTERGÖTLANDS LÄN</t>
        </is>
      </c>
      <c r="E553" t="inlineStr">
        <is>
          <t>LINKÖPING</t>
        </is>
      </c>
      <c r="G553" t="n">
        <v>1.1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63693-2018</t>
        </is>
      </c>
      <c r="B554" s="1" t="n">
        <v>43417</v>
      </c>
      <c r="C554" s="1" t="n">
        <v>45211</v>
      </c>
      <c r="D554" t="inlineStr">
        <is>
          <t>ÖSTERGÖTLANDS LÄN</t>
        </is>
      </c>
      <c r="E554" t="inlineStr">
        <is>
          <t>ÖDESHÖG</t>
        </is>
      </c>
      <c r="G554" t="n">
        <v>1.5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62961-2018</t>
        </is>
      </c>
      <c r="B555" s="1" t="n">
        <v>43417</v>
      </c>
      <c r="C555" s="1" t="n">
        <v>45211</v>
      </c>
      <c r="D555" t="inlineStr">
        <is>
          <t>ÖSTERGÖTLANDS LÄN</t>
        </is>
      </c>
      <c r="E555" t="inlineStr">
        <is>
          <t>LINKÖPING</t>
        </is>
      </c>
      <c r="G555" t="n">
        <v>4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62969-2018</t>
        </is>
      </c>
      <c r="B556" s="1" t="n">
        <v>43417</v>
      </c>
      <c r="C556" s="1" t="n">
        <v>45211</v>
      </c>
      <c r="D556" t="inlineStr">
        <is>
          <t>ÖSTERGÖTLANDS LÄN</t>
        </is>
      </c>
      <c r="E556" t="inlineStr">
        <is>
          <t>LINKÖPING</t>
        </is>
      </c>
      <c r="G556" t="n">
        <v>2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62964-2018</t>
        </is>
      </c>
      <c r="B557" s="1" t="n">
        <v>43417</v>
      </c>
      <c r="C557" s="1" t="n">
        <v>45211</v>
      </c>
      <c r="D557" t="inlineStr">
        <is>
          <t>ÖSTERGÖTLANDS LÄN</t>
        </is>
      </c>
      <c r="E557" t="inlineStr">
        <is>
          <t>LINKÖPING</t>
        </is>
      </c>
      <c r="G557" t="n">
        <v>1.4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62972-2018</t>
        </is>
      </c>
      <c r="B558" s="1" t="n">
        <v>43417</v>
      </c>
      <c r="C558" s="1" t="n">
        <v>45211</v>
      </c>
      <c r="D558" t="inlineStr">
        <is>
          <t>ÖSTERGÖTLANDS LÄN</t>
        </is>
      </c>
      <c r="E558" t="inlineStr">
        <is>
          <t>ÅTVIDABERG</t>
        </is>
      </c>
      <c r="G558" t="n">
        <v>1.5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62808-2018</t>
        </is>
      </c>
      <c r="B559" s="1" t="n">
        <v>43417</v>
      </c>
      <c r="C559" s="1" t="n">
        <v>45211</v>
      </c>
      <c r="D559" t="inlineStr">
        <is>
          <t>ÖSTERGÖTLANDS LÄN</t>
        </is>
      </c>
      <c r="E559" t="inlineStr">
        <is>
          <t>LINKÖPING</t>
        </is>
      </c>
      <c r="G559" t="n">
        <v>1.4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62814-2018</t>
        </is>
      </c>
      <c r="B560" s="1" t="n">
        <v>43417</v>
      </c>
      <c r="C560" s="1" t="n">
        <v>45211</v>
      </c>
      <c r="D560" t="inlineStr">
        <is>
          <t>ÖSTERGÖTLANDS LÄN</t>
        </is>
      </c>
      <c r="E560" t="inlineStr">
        <is>
          <t>LINKÖPING</t>
        </is>
      </c>
      <c r="G560" t="n">
        <v>1.4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62968-2018</t>
        </is>
      </c>
      <c r="B561" s="1" t="n">
        <v>43417</v>
      </c>
      <c r="C561" s="1" t="n">
        <v>45211</v>
      </c>
      <c r="D561" t="inlineStr">
        <is>
          <t>ÖSTERGÖTLANDS LÄN</t>
        </is>
      </c>
      <c r="E561" t="inlineStr">
        <is>
          <t>LINKÖPING</t>
        </is>
      </c>
      <c r="G561" t="n">
        <v>2.4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59394-2018</t>
        </is>
      </c>
      <c r="B562" s="1" t="n">
        <v>43418</v>
      </c>
      <c r="C562" s="1" t="n">
        <v>45211</v>
      </c>
      <c r="D562" t="inlineStr">
        <is>
          <t>ÖSTERGÖTLANDS LÄN</t>
        </is>
      </c>
      <c r="E562" t="inlineStr">
        <is>
          <t>LINKÖPING</t>
        </is>
      </c>
      <c r="G562" t="n">
        <v>1.4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59855-2018</t>
        </is>
      </c>
      <c r="B563" s="1" t="n">
        <v>43419</v>
      </c>
      <c r="C563" s="1" t="n">
        <v>45211</v>
      </c>
      <c r="D563" t="inlineStr">
        <is>
          <t>ÖSTERGÖTLANDS LÄN</t>
        </is>
      </c>
      <c r="E563" t="inlineStr">
        <is>
          <t>BOXHOLM</t>
        </is>
      </c>
      <c r="G563" t="n">
        <v>0.7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59509-2018</t>
        </is>
      </c>
      <c r="B564" s="1" t="n">
        <v>43419</v>
      </c>
      <c r="C564" s="1" t="n">
        <v>45211</v>
      </c>
      <c r="D564" t="inlineStr">
        <is>
          <t>ÖSTERGÖTLANDS LÄN</t>
        </is>
      </c>
      <c r="E564" t="inlineStr">
        <is>
          <t>NORRKÖPING</t>
        </is>
      </c>
      <c r="G564" t="n">
        <v>2.5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64277-2018</t>
        </is>
      </c>
      <c r="B565" s="1" t="n">
        <v>43419</v>
      </c>
      <c r="C565" s="1" t="n">
        <v>45211</v>
      </c>
      <c r="D565" t="inlineStr">
        <is>
          <t>ÖSTERGÖTLANDS LÄN</t>
        </is>
      </c>
      <c r="E565" t="inlineStr">
        <is>
          <t>SÖDERKÖPING</t>
        </is>
      </c>
      <c r="G565" t="n">
        <v>3.1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64201-2018</t>
        </is>
      </c>
      <c r="B566" s="1" t="n">
        <v>43419</v>
      </c>
      <c r="C566" s="1" t="n">
        <v>45211</v>
      </c>
      <c r="D566" t="inlineStr">
        <is>
          <t>ÖSTERGÖTLANDS LÄN</t>
        </is>
      </c>
      <c r="E566" t="inlineStr">
        <is>
          <t>KINDA</t>
        </is>
      </c>
      <c r="G566" t="n">
        <v>3.7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64262-2018</t>
        </is>
      </c>
      <c r="B567" s="1" t="n">
        <v>43419</v>
      </c>
      <c r="C567" s="1" t="n">
        <v>45211</v>
      </c>
      <c r="D567" t="inlineStr">
        <is>
          <t>ÖSTERGÖTLANDS LÄN</t>
        </is>
      </c>
      <c r="E567" t="inlineStr">
        <is>
          <t>KINDA</t>
        </is>
      </c>
      <c r="G567" t="n">
        <v>5.3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64268-2018</t>
        </is>
      </c>
      <c r="B568" s="1" t="n">
        <v>43419</v>
      </c>
      <c r="C568" s="1" t="n">
        <v>45211</v>
      </c>
      <c r="D568" t="inlineStr">
        <is>
          <t>ÖSTERGÖTLANDS LÄN</t>
        </is>
      </c>
      <c r="E568" t="inlineStr">
        <is>
          <t>SÖDERKÖPING</t>
        </is>
      </c>
      <c r="G568" t="n">
        <v>2.5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59864-2018</t>
        </is>
      </c>
      <c r="B569" s="1" t="n">
        <v>43419</v>
      </c>
      <c r="C569" s="1" t="n">
        <v>45211</v>
      </c>
      <c r="D569" t="inlineStr">
        <is>
          <t>ÖSTERGÖTLANDS LÄN</t>
        </is>
      </c>
      <c r="E569" t="inlineStr">
        <is>
          <t>LINKÖPING</t>
        </is>
      </c>
      <c r="G569" t="n">
        <v>1.2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64191-2018</t>
        </is>
      </c>
      <c r="B570" s="1" t="n">
        <v>43419</v>
      </c>
      <c r="C570" s="1" t="n">
        <v>45211</v>
      </c>
      <c r="D570" t="inlineStr">
        <is>
          <t>ÖSTERGÖTLANDS LÄN</t>
        </is>
      </c>
      <c r="E570" t="inlineStr">
        <is>
          <t>KINDA</t>
        </is>
      </c>
      <c r="G570" t="n">
        <v>6.5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64251-2018</t>
        </is>
      </c>
      <c r="B571" s="1" t="n">
        <v>43419</v>
      </c>
      <c r="C571" s="1" t="n">
        <v>45211</v>
      </c>
      <c r="D571" t="inlineStr">
        <is>
          <t>ÖSTERGÖTLANDS LÄN</t>
        </is>
      </c>
      <c r="E571" t="inlineStr">
        <is>
          <t>NORRKÖPING</t>
        </is>
      </c>
      <c r="G571" t="n">
        <v>1.5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64718-2018</t>
        </is>
      </c>
      <c r="B572" s="1" t="n">
        <v>43422</v>
      </c>
      <c r="C572" s="1" t="n">
        <v>45211</v>
      </c>
      <c r="D572" t="inlineStr">
        <is>
          <t>ÖSTERGÖTLANDS LÄN</t>
        </is>
      </c>
      <c r="E572" t="inlineStr">
        <is>
          <t>LINKÖPING</t>
        </is>
      </c>
      <c r="G572" t="n">
        <v>0.7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64732-2018</t>
        </is>
      </c>
      <c r="B573" s="1" t="n">
        <v>43422</v>
      </c>
      <c r="C573" s="1" t="n">
        <v>45211</v>
      </c>
      <c r="D573" t="inlineStr">
        <is>
          <t>ÖSTERGÖTLANDS LÄN</t>
        </is>
      </c>
      <c r="E573" t="inlineStr">
        <is>
          <t>FINSPÅNG</t>
        </is>
      </c>
      <c r="G573" t="n">
        <v>1.6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60957-2018</t>
        </is>
      </c>
      <c r="B574" s="1" t="n">
        <v>43423</v>
      </c>
      <c r="C574" s="1" t="n">
        <v>45211</v>
      </c>
      <c r="D574" t="inlineStr">
        <is>
          <t>ÖSTERGÖTLANDS LÄN</t>
        </is>
      </c>
      <c r="E574" t="inlineStr">
        <is>
          <t>YDRE</t>
        </is>
      </c>
      <c r="F574" t="inlineStr">
        <is>
          <t>Kyrkan</t>
        </is>
      </c>
      <c r="G574" t="n">
        <v>6.4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61139-2018</t>
        </is>
      </c>
      <c r="B575" s="1" t="n">
        <v>43423</v>
      </c>
      <c r="C575" s="1" t="n">
        <v>45211</v>
      </c>
      <c r="D575" t="inlineStr">
        <is>
          <t>ÖSTERGÖTLANDS LÄN</t>
        </is>
      </c>
      <c r="E575" t="inlineStr">
        <is>
          <t>LINKÖPING</t>
        </is>
      </c>
      <c r="G575" t="n">
        <v>4.4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61086-2018</t>
        </is>
      </c>
      <c r="B576" s="1" t="n">
        <v>43423</v>
      </c>
      <c r="C576" s="1" t="n">
        <v>45211</v>
      </c>
      <c r="D576" t="inlineStr">
        <is>
          <t>ÖSTERGÖTLANDS LÄN</t>
        </is>
      </c>
      <c r="E576" t="inlineStr">
        <is>
          <t>KINDA</t>
        </is>
      </c>
      <c r="G576" t="n">
        <v>1.6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61295-2018</t>
        </is>
      </c>
      <c r="B577" s="1" t="n">
        <v>43423</v>
      </c>
      <c r="C577" s="1" t="n">
        <v>45211</v>
      </c>
      <c r="D577" t="inlineStr">
        <is>
          <t>ÖSTERGÖTLANDS LÄN</t>
        </is>
      </c>
      <c r="E577" t="inlineStr">
        <is>
          <t>FINSPÅNG</t>
        </is>
      </c>
      <c r="G577" t="n">
        <v>3.8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61203-2018</t>
        </is>
      </c>
      <c r="B578" s="1" t="n">
        <v>43423</v>
      </c>
      <c r="C578" s="1" t="n">
        <v>45211</v>
      </c>
      <c r="D578" t="inlineStr">
        <is>
          <t>ÖSTERGÖTLANDS LÄN</t>
        </is>
      </c>
      <c r="E578" t="inlineStr">
        <is>
          <t>LINKÖPING</t>
        </is>
      </c>
      <c r="G578" t="n">
        <v>11.7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61296-2018</t>
        </is>
      </c>
      <c r="B579" s="1" t="n">
        <v>43423</v>
      </c>
      <c r="C579" s="1" t="n">
        <v>45211</v>
      </c>
      <c r="D579" t="inlineStr">
        <is>
          <t>ÖSTERGÖTLANDS LÄN</t>
        </is>
      </c>
      <c r="E579" t="inlineStr">
        <is>
          <t>FINSPÅNG</t>
        </is>
      </c>
      <c r="G579" t="n">
        <v>3.4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61082-2018</t>
        </is>
      </c>
      <c r="B580" s="1" t="n">
        <v>43423</v>
      </c>
      <c r="C580" s="1" t="n">
        <v>45211</v>
      </c>
      <c r="D580" t="inlineStr">
        <is>
          <t>ÖSTERGÖTLANDS LÄN</t>
        </is>
      </c>
      <c r="E580" t="inlineStr">
        <is>
          <t>KINDA</t>
        </is>
      </c>
      <c r="G580" t="n">
        <v>3.6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61298-2018</t>
        </is>
      </c>
      <c r="B581" s="1" t="n">
        <v>43424</v>
      </c>
      <c r="C581" s="1" t="n">
        <v>45211</v>
      </c>
      <c r="D581" t="inlineStr">
        <is>
          <t>ÖSTERGÖTLANDS LÄN</t>
        </is>
      </c>
      <c r="E581" t="inlineStr">
        <is>
          <t>FINSPÅNG</t>
        </is>
      </c>
      <c r="G581" t="n">
        <v>1.9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61491-2018</t>
        </is>
      </c>
      <c r="B582" s="1" t="n">
        <v>43424</v>
      </c>
      <c r="C582" s="1" t="n">
        <v>45211</v>
      </c>
      <c r="D582" t="inlineStr">
        <is>
          <t>ÖSTERGÖTLANDS LÄN</t>
        </is>
      </c>
      <c r="E582" t="inlineStr">
        <is>
          <t>KINDA</t>
        </is>
      </c>
      <c r="G582" t="n">
        <v>1.8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61511-2018</t>
        </is>
      </c>
      <c r="B583" s="1" t="n">
        <v>43424</v>
      </c>
      <c r="C583" s="1" t="n">
        <v>45211</v>
      </c>
      <c r="D583" t="inlineStr">
        <is>
          <t>ÖSTERGÖTLANDS LÄN</t>
        </is>
      </c>
      <c r="E583" t="inlineStr">
        <is>
          <t>VALDEMARSVIK</t>
        </is>
      </c>
      <c r="G583" t="n">
        <v>1.3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61598-2018</t>
        </is>
      </c>
      <c r="B584" s="1" t="n">
        <v>43424</v>
      </c>
      <c r="C584" s="1" t="n">
        <v>45211</v>
      </c>
      <c r="D584" t="inlineStr">
        <is>
          <t>ÖSTERGÖTLANDS LÄN</t>
        </is>
      </c>
      <c r="E584" t="inlineStr">
        <is>
          <t>FINSPÅNG</t>
        </is>
      </c>
      <c r="G584" t="n">
        <v>6.2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61545-2018</t>
        </is>
      </c>
      <c r="B585" s="1" t="n">
        <v>43424</v>
      </c>
      <c r="C585" s="1" t="n">
        <v>45211</v>
      </c>
      <c r="D585" t="inlineStr">
        <is>
          <t>ÖSTERGÖTLANDS LÄN</t>
        </is>
      </c>
      <c r="E585" t="inlineStr">
        <is>
          <t>YDRE</t>
        </is>
      </c>
      <c r="G585" t="n">
        <v>0.8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61816-2018</t>
        </is>
      </c>
      <c r="B586" s="1" t="n">
        <v>43425</v>
      </c>
      <c r="C586" s="1" t="n">
        <v>45211</v>
      </c>
      <c r="D586" t="inlineStr">
        <is>
          <t>ÖSTERGÖTLANDS LÄN</t>
        </is>
      </c>
      <c r="E586" t="inlineStr">
        <is>
          <t>BOXHOLM</t>
        </is>
      </c>
      <c r="G586" t="n">
        <v>1.8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62214-2018</t>
        </is>
      </c>
      <c r="B587" s="1" t="n">
        <v>43425</v>
      </c>
      <c r="C587" s="1" t="n">
        <v>45211</v>
      </c>
      <c r="D587" t="inlineStr">
        <is>
          <t>ÖSTERGÖTLANDS LÄN</t>
        </is>
      </c>
      <c r="E587" t="inlineStr">
        <is>
          <t>YDRE</t>
        </is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65611-2018</t>
        </is>
      </c>
      <c r="B588" s="1" t="n">
        <v>43425</v>
      </c>
      <c r="C588" s="1" t="n">
        <v>45211</v>
      </c>
      <c r="D588" t="inlineStr">
        <is>
          <t>ÖSTERGÖTLANDS LÄN</t>
        </is>
      </c>
      <c r="E588" t="inlineStr">
        <is>
          <t>YDRE</t>
        </is>
      </c>
      <c r="G588" t="n">
        <v>2.8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62600-2018</t>
        </is>
      </c>
      <c r="B589" s="1" t="n">
        <v>43426</v>
      </c>
      <c r="C589" s="1" t="n">
        <v>45211</v>
      </c>
      <c r="D589" t="inlineStr">
        <is>
          <t>ÖSTERGÖTLANDS LÄN</t>
        </is>
      </c>
      <c r="E589" t="inlineStr">
        <is>
          <t>SÖDERKÖPING</t>
        </is>
      </c>
      <c r="G589" t="n">
        <v>1.6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62611-2018</t>
        </is>
      </c>
      <c r="B590" s="1" t="n">
        <v>43426</v>
      </c>
      <c r="C590" s="1" t="n">
        <v>45211</v>
      </c>
      <c r="D590" t="inlineStr">
        <is>
          <t>ÖSTERGÖTLANDS LÄN</t>
        </is>
      </c>
      <c r="E590" t="inlineStr">
        <is>
          <t>SÖDERKÖPING</t>
        </is>
      </c>
      <c r="G590" t="n">
        <v>0.5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62938-2018</t>
        </is>
      </c>
      <c r="B591" s="1" t="n">
        <v>43426</v>
      </c>
      <c r="C591" s="1" t="n">
        <v>45211</v>
      </c>
      <c r="D591" t="inlineStr">
        <is>
          <t>ÖSTERGÖTLANDS LÄN</t>
        </is>
      </c>
      <c r="E591" t="inlineStr">
        <is>
          <t>KINDA</t>
        </is>
      </c>
      <c r="G591" t="n">
        <v>0.8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63426-2018</t>
        </is>
      </c>
      <c r="B592" s="1" t="n">
        <v>43427</v>
      </c>
      <c r="C592" s="1" t="n">
        <v>45211</v>
      </c>
      <c r="D592" t="inlineStr">
        <is>
          <t>ÖSTERGÖTLANDS LÄN</t>
        </is>
      </c>
      <c r="E592" t="inlineStr">
        <is>
          <t>MJÖLBY</t>
        </is>
      </c>
      <c r="G592" t="n">
        <v>5.9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63578-2018</t>
        </is>
      </c>
      <c r="B593" s="1" t="n">
        <v>43427</v>
      </c>
      <c r="C593" s="1" t="n">
        <v>45211</v>
      </c>
      <c r="D593" t="inlineStr">
        <is>
          <t>ÖSTERGÖTLANDS LÄN</t>
        </is>
      </c>
      <c r="E593" t="inlineStr">
        <is>
          <t>FINSPÅNG</t>
        </is>
      </c>
      <c r="F593" t="inlineStr">
        <is>
          <t>Sveaskog</t>
        </is>
      </c>
      <c r="G593" t="n">
        <v>2.4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66345-2018</t>
        </is>
      </c>
      <c r="B594" s="1" t="n">
        <v>43427</v>
      </c>
      <c r="C594" s="1" t="n">
        <v>45211</v>
      </c>
      <c r="D594" t="inlineStr">
        <is>
          <t>ÖSTERGÖTLANDS LÄN</t>
        </is>
      </c>
      <c r="E594" t="inlineStr">
        <is>
          <t>LINKÖPING</t>
        </is>
      </c>
      <c r="G594" t="n">
        <v>1.5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63921-2018</t>
        </is>
      </c>
      <c r="B595" s="1" t="n">
        <v>43430</v>
      </c>
      <c r="C595" s="1" t="n">
        <v>45211</v>
      </c>
      <c r="D595" t="inlineStr">
        <is>
          <t>ÖSTERGÖTLANDS LÄN</t>
        </is>
      </c>
      <c r="E595" t="inlineStr">
        <is>
          <t>NORRKÖPING</t>
        </is>
      </c>
      <c r="G595" t="n">
        <v>1.4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64125-2018</t>
        </is>
      </c>
      <c r="B596" s="1" t="n">
        <v>43430</v>
      </c>
      <c r="C596" s="1" t="n">
        <v>45211</v>
      </c>
      <c r="D596" t="inlineStr">
        <is>
          <t>ÖSTERGÖTLANDS LÄN</t>
        </is>
      </c>
      <c r="E596" t="inlineStr">
        <is>
          <t>NORRKÖPING</t>
        </is>
      </c>
      <c r="G596" t="n">
        <v>3.4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64712-2018</t>
        </is>
      </c>
      <c r="B597" s="1" t="n">
        <v>43431</v>
      </c>
      <c r="C597" s="1" t="n">
        <v>45211</v>
      </c>
      <c r="D597" t="inlineStr">
        <is>
          <t>ÖSTERGÖTLANDS LÄN</t>
        </is>
      </c>
      <c r="E597" t="inlineStr">
        <is>
          <t>VADSTENA</t>
        </is>
      </c>
      <c r="G597" t="n">
        <v>2.1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64863-2018</t>
        </is>
      </c>
      <c r="B598" s="1" t="n">
        <v>43431</v>
      </c>
      <c r="C598" s="1" t="n">
        <v>45211</v>
      </c>
      <c r="D598" t="inlineStr">
        <is>
          <t>ÖSTERGÖTLANDS LÄN</t>
        </is>
      </c>
      <c r="E598" t="inlineStr">
        <is>
          <t>NORRKÖPING</t>
        </is>
      </c>
      <c r="F598" t="inlineStr">
        <is>
          <t>Holmen skog AB</t>
        </is>
      </c>
      <c r="G598" t="n">
        <v>0.3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64824-2018</t>
        </is>
      </c>
      <c r="B599" s="1" t="n">
        <v>43431</v>
      </c>
      <c r="C599" s="1" t="n">
        <v>45211</v>
      </c>
      <c r="D599" t="inlineStr">
        <is>
          <t>ÖSTERGÖTLANDS LÄN</t>
        </is>
      </c>
      <c r="E599" t="inlineStr">
        <is>
          <t>NORRKÖPING</t>
        </is>
      </c>
      <c r="F599" t="inlineStr">
        <is>
          <t>Holmen skog AB</t>
        </is>
      </c>
      <c r="G599" t="n">
        <v>0.5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64866-2018</t>
        </is>
      </c>
      <c r="B600" s="1" t="n">
        <v>43431</v>
      </c>
      <c r="C600" s="1" t="n">
        <v>45211</v>
      </c>
      <c r="D600" t="inlineStr">
        <is>
          <t>ÖSTERGÖTLANDS LÄN</t>
        </is>
      </c>
      <c r="E600" t="inlineStr">
        <is>
          <t>NORRKÖPING</t>
        </is>
      </c>
      <c r="F600" t="inlineStr">
        <is>
          <t>Holmen skog AB</t>
        </is>
      </c>
      <c r="G600" t="n">
        <v>6.7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65224-2018</t>
        </is>
      </c>
      <c r="B601" s="1" t="n">
        <v>43432</v>
      </c>
      <c r="C601" s="1" t="n">
        <v>45211</v>
      </c>
      <c r="D601" t="inlineStr">
        <is>
          <t>ÖSTERGÖTLANDS LÄN</t>
        </is>
      </c>
      <c r="E601" t="inlineStr">
        <is>
          <t>VALDEMARSVIK</t>
        </is>
      </c>
      <c r="G601" t="n">
        <v>4.1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65278-2018</t>
        </is>
      </c>
      <c r="B602" s="1" t="n">
        <v>43432</v>
      </c>
      <c r="C602" s="1" t="n">
        <v>45211</v>
      </c>
      <c r="D602" t="inlineStr">
        <is>
          <t>ÖSTERGÖTLANDS LÄN</t>
        </is>
      </c>
      <c r="E602" t="inlineStr">
        <is>
          <t>SÖDERKÖPING</t>
        </is>
      </c>
      <c r="G602" t="n">
        <v>1.9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65447-2018</t>
        </is>
      </c>
      <c r="B603" s="1" t="n">
        <v>43432</v>
      </c>
      <c r="C603" s="1" t="n">
        <v>45211</v>
      </c>
      <c r="D603" t="inlineStr">
        <is>
          <t>ÖSTERGÖTLANDS LÄN</t>
        </is>
      </c>
      <c r="E603" t="inlineStr">
        <is>
          <t>LINKÖPING</t>
        </is>
      </c>
      <c r="G603" t="n">
        <v>1.8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65467-2018</t>
        </is>
      </c>
      <c r="B604" s="1" t="n">
        <v>43432</v>
      </c>
      <c r="C604" s="1" t="n">
        <v>45211</v>
      </c>
      <c r="D604" t="inlineStr">
        <is>
          <t>ÖSTERGÖTLANDS LÄN</t>
        </is>
      </c>
      <c r="E604" t="inlineStr">
        <is>
          <t>LINKÖPING</t>
        </is>
      </c>
      <c r="G604" t="n">
        <v>1.8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65448-2018</t>
        </is>
      </c>
      <c r="B605" s="1" t="n">
        <v>43433</v>
      </c>
      <c r="C605" s="1" t="n">
        <v>45211</v>
      </c>
      <c r="D605" t="inlineStr">
        <is>
          <t>ÖSTERGÖTLANDS LÄN</t>
        </is>
      </c>
      <c r="E605" t="inlineStr">
        <is>
          <t>YDRE</t>
        </is>
      </c>
      <c r="G605" t="n">
        <v>2.1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65531-2018</t>
        </is>
      </c>
      <c r="B606" s="1" t="n">
        <v>43433</v>
      </c>
      <c r="C606" s="1" t="n">
        <v>45211</v>
      </c>
      <c r="D606" t="inlineStr">
        <is>
          <t>ÖSTERGÖTLANDS LÄN</t>
        </is>
      </c>
      <c r="E606" t="inlineStr">
        <is>
          <t>YDRE</t>
        </is>
      </c>
      <c r="G606" t="n">
        <v>1.1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65407-2018</t>
        </is>
      </c>
      <c r="B607" s="1" t="n">
        <v>43433</v>
      </c>
      <c r="C607" s="1" t="n">
        <v>45211</v>
      </c>
      <c r="D607" t="inlineStr">
        <is>
          <t>ÖSTERGÖTLANDS LÄN</t>
        </is>
      </c>
      <c r="E607" t="inlineStr">
        <is>
          <t>YDRE</t>
        </is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66037-2018</t>
        </is>
      </c>
      <c r="B608" s="1" t="n">
        <v>43434</v>
      </c>
      <c r="C608" s="1" t="n">
        <v>45211</v>
      </c>
      <c r="D608" t="inlineStr">
        <is>
          <t>ÖSTERGÖTLANDS LÄN</t>
        </is>
      </c>
      <c r="E608" t="inlineStr">
        <is>
          <t>YDRE</t>
        </is>
      </c>
      <c r="G608" t="n">
        <v>1.4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66063-2018</t>
        </is>
      </c>
      <c r="B609" s="1" t="n">
        <v>43434</v>
      </c>
      <c r="C609" s="1" t="n">
        <v>45211</v>
      </c>
      <c r="D609" t="inlineStr">
        <is>
          <t>ÖSTERGÖTLANDS LÄN</t>
        </is>
      </c>
      <c r="E609" t="inlineStr">
        <is>
          <t>LINKÖPING</t>
        </is>
      </c>
      <c r="G609" t="n">
        <v>2.3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66057-2018</t>
        </is>
      </c>
      <c r="B610" s="1" t="n">
        <v>43434</v>
      </c>
      <c r="C610" s="1" t="n">
        <v>45211</v>
      </c>
      <c r="D610" t="inlineStr">
        <is>
          <t>ÖSTERGÖTLANDS LÄN</t>
        </is>
      </c>
      <c r="E610" t="inlineStr">
        <is>
          <t>LINKÖPING</t>
        </is>
      </c>
      <c r="G610" t="n">
        <v>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66844-2018</t>
        </is>
      </c>
      <c r="B611" s="1" t="n">
        <v>43437</v>
      </c>
      <c r="C611" s="1" t="n">
        <v>45211</v>
      </c>
      <c r="D611" t="inlineStr">
        <is>
          <t>ÖSTERGÖTLANDS LÄN</t>
        </is>
      </c>
      <c r="E611" t="inlineStr">
        <is>
          <t>MOTALA</t>
        </is>
      </c>
      <c r="G611" t="n">
        <v>1.3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66779-2018</t>
        </is>
      </c>
      <c r="B612" s="1" t="n">
        <v>43437</v>
      </c>
      <c r="C612" s="1" t="n">
        <v>45211</v>
      </c>
      <c r="D612" t="inlineStr">
        <is>
          <t>ÖSTERGÖTLANDS LÄN</t>
        </is>
      </c>
      <c r="E612" t="inlineStr">
        <is>
          <t>MJÖLBY</t>
        </is>
      </c>
      <c r="G612" t="n">
        <v>0.9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66492-2018</t>
        </is>
      </c>
      <c r="B613" s="1" t="n">
        <v>43437</v>
      </c>
      <c r="C613" s="1" t="n">
        <v>45211</v>
      </c>
      <c r="D613" t="inlineStr">
        <is>
          <t>ÖSTERGÖTLANDS LÄN</t>
        </is>
      </c>
      <c r="E613" t="inlineStr">
        <is>
          <t>LINKÖPING</t>
        </is>
      </c>
      <c r="G613" t="n">
        <v>0.5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66564-2018</t>
        </is>
      </c>
      <c r="B614" s="1" t="n">
        <v>43437</v>
      </c>
      <c r="C614" s="1" t="n">
        <v>45211</v>
      </c>
      <c r="D614" t="inlineStr">
        <is>
          <t>ÖSTERGÖTLANDS LÄN</t>
        </is>
      </c>
      <c r="E614" t="inlineStr">
        <is>
          <t>FINSPÅNG</t>
        </is>
      </c>
      <c r="G614" t="n">
        <v>1.1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68380-2018</t>
        </is>
      </c>
      <c r="B615" s="1" t="n">
        <v>43438</v>
      </c>
      <c r="C615" s="1" t="n">
        <v>45211</v>
      </c>
      <c r="D615" t="inlineStr">
        <is>
          <t>ÖSTERGÖTLANDS LÄN</t>
        </is>
      </c>
      <c r="E615" t="inlineStr">
        <is>
          <t>KINDA</t>
        </is>
      </c>
      <c r="F615" t="inlineStr">
        <is>
          <t>Övriga Aktiebolag</t>
        </is>
      </c>
      <c r="G615" t="n">
        <v>3.4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67459-2018</t>
        </is>
      </c>
      <c r="B616" s="1" t="n">
        <v>43439</v>
      </c>
      <c r="C616" s="1" t="n">
        <v>45211</v>
      </c>
      <c r="D616" t="inlineStr">
        <is>
          <t>ÖSTERGÖTLANDS LÄN</t>
        </is>
      </c>
      <c r="E616" t="inlineStr">
        <is>
          <t>YDRE</t>
        </is>
      </c>
      <c r="F616" t="inlineStr">
        <is>
          <t>Sveaskog</t>
        </is>
      </c>
      <c r="G616" t="n">
        <v>1.3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67455-2018</t>
        </is>
      </c>
      <c r="B617" s="1" t="n">
        <v>43439</v>
      </c>
      <c r="C617" s="1" t="n">
        <v>45211</v>
      </c>
      <c r="D617" t="inlineStr">
        <is>
          <t>ÖSTERGÖTLANDS LÄN</t>
        </is>
      </c>
      <c r="E617" t="inlineStr">
        <is>
          <t>YDRE</t>
        </is>
      </c>
      <c r="F617" t="inlineStr">
        <is>
          <t>Sveaskog</t>
        </is>
      </c>
      <c r="G617" t="n">
        <v>1.5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67891-2018</t>
        </is>
      </c>
      <c r="B618" s="1" t="n">
        <v>43440</v>
      </c>
      <c r="C618" s="1" t="n">
        <v>45211</v>
      </c>
      <c r="D618" t="inlineStr">
        <is>
          <t>ÖSTERGÖTLANDS LÄN</t>
        </is>
      </c>
      <c r="E618" t="inlineStr">
        <is>
          <t>YDRE</t>
        </is>
      </c>
      <c r="G618" t="n">
        <v>2.6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68001-2018</t>
        </is>
      </c>
      <c r="B619" s="1" t="n">
        <v>43440</v>
      </c>
      <c r="C619" s="1" t="n">
        <v>45211</v>
      </c>
      <c r="D619" t="inlineStr">
        <is>
          <t>ÖSTERGÖTLANDS LÄN</t>
        </is>
      </c>
      <c r="E619" t="inlineStr">
        <is>
          <t>KINDA</t>
        </is>
      </c>
      <c r="G619" t="n">
        <v>2.7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68025-2018</t>
        </is>
      </c>
      <c r="B620" s="1" t="n">
        <v>43440</v>
      </c>
      <c r="C620" s="1" t="n">
        <v>45211</v>
      </c>
      <c r="D620" t="inlineStr">
        <is>
          <t>ÖSTERGÖTLANDS LÄN</t>
        </is>
      </c>
      <c r="E620" t="inlineStr">
        <is>
          <t>ÖDESHÖG</t>
        </is>
      </c>
      <c r="G620" t="n">
        <v>0.8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69133-2018</t>
        </is>
      </c>
      <c r="B621" s="1" t="n">
        <v>43441</v>
      </c>
      <c r="C621" s="1" t="n">
        <v>45211</v>
      </c>
      <c r="D621" t="inlineStr">
        <is>
          <t>ÖSTERGÖTLANDS LÄN</t>
        </is>
      </c>
      <c r="E621" t="inlineStr">
        <is>
          <t>KINDA</t>
        </is>
      </c>
      <c r="F621" t="inlineStr">
        <is>
          <t>Övriga Aktiebolag</t>
        </is>
      </c>
      <c r="G621" t="n">
        <v>0.7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69164-2018</t>
        </is>
      </c>
      <c r="B622" s="1" t="n">
        <v>43441</v>
      </c>
      <c r="C622" s="1" t="n">
        <v>45211</v>
      </c>
      <c r="D622" t="inlineStr">
        <is>
          <t>ÖSTERGÖTLANDS LÄN</t>
        </is>
      </c>
      <c r="E622" t="inlineStr">
        <is>
          <t>KINDA</t>
        </is>
      </c>
      <c r="F622" t="inlineStr">
        <is>
          <t>Övriga Aktiebolag</t>
        </is>
      </c>
      <c r="G622" t="n">
        <v>0.4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69185-2018</t>
        </is>
      </c>
      <c r="B623" s="1" t="n">
        <v>43441</v>
      </c>
      <c r="C623" s="1" t="n">
        <v>45211</v>
      </c>
      <c r="D623" t="inlineStr">
        <is>
          <t>ÖSTERGÖTLANDS LÄN</t>
        </is>
      </c>
      <c r="E623" t="inlineStr">
        <is>
          <t>LINKÖPING</t>
        </is>
      </c>
      <c r="F623" t="inlineStr">
        <is>
          <t>Övriga Aktiebolag</t>
        </is>
      </c>
      <c r="G623" t="n">
        <v>1.4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69306-2018</t>
        </is>
      </c>
      <c r="B624" s="1" t="n">
        <v>43441</v>
      </c>
      <c r="C624" s="1" t="n">
        <v>45211</v>
      </c>
      <c r="D624" t="inlineStr">
        <is>
          <t>ÖSTERGÖTLANDS LÄN</t>
        </is>
      </c>
      <c r="E624" t="inlineStr">
        <is>
          <t>ÅTVIDABERG</t>
        </is>
      </c>
      <c r="G624" t="n">
        <v>1.9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69069-2018</t>
        </is>
      </c>
      <c r="B625" s="1" t="n">
        <v>43441</v>
      </c>
      <c r="C625" s="1" t="n">
        <v>45211</v>
      </c>
      <c r="D625" t="inlineStr">
        <is>
          <t>ÖSTERGÖTLANDS LÄN</t>
        </is>
      </c>
      <c r="E625" t="inlineStr">
        <is>
          <t>KINDA</t>
        </is>
      </c>
      <c r="G625" t="n">
        <v>3.7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69302-2018</t>
        </is>
      </c>
      <c r="B626" s="1" t="n">
        <v>43441</v>
      </c>
      <c r="C626" s="1" t="n">
        <v>45211</v>
      </c>
      <c r="D626" t="inlineStr">
        <is>
          <t>ÖSTERGÖTLANDS LÄN</t>
        </is>
      </c>
      <c r="E626" t="inlineStr">
        <is>
          <t>LINKÖPING</t>
        </is>
      </c>
      <c r="F626" t="inlineStr">
        <is>
          <t>Övriga Aktiebolag</t>
        </is>
      </c>
      <c r="G626" t="n">
        <v>1.8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69518-2018</t>
        </is>
      </c>
      <c r="B627" s="1" t="n">
        <v>43441</v>
      </c>
      <c r="C627" s="1" t="n">
        <v>45211</v>
      </c>
      <c r="D627" t="inlineStr">
        <is>
          <t>ÖSTERGÖTLANDS LÄN</t>
        </is>
      </c>
      <c r="E627" t="inlineStr">
        <is>
          <t>KINDA</t>
        </is>
      </c>
      <c r="G627" t="n">
        <v>1.9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69153-2018</t>
        </is>
      </c>
      <c r="B628" s="1" t="n">
        <v>43441</v>
      </c>
      <c r="C628" s="1" t="n">
        <v>45211</v>
      </c>
      <c r="D628" t="inlineStr">
        <is>
          <t>ÖSTERGÖTLANDS LÄN</t>
        </is>
      </c>
      <c r="E628" t="inlineStr">
        <is>
          <t>KINDA</t>
        </is>
      </c>
      <c r="F628" t="inlineStr">
        <is>
          <t>Övriga Aktiebolag</t>
        </is>
      </c>
      <c r="G628" t="n">
        <v>0.8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68856-2018</t>
        </is>
      </c>
      <c r="B629" s="1" t="n">
        <v>43444</v>
      </c>
      <c r="C629" s="1" t="n">
        <v>45211</v>
      </c>
      <c r="D629" t="inlineStr">
        <is>
          <t>ÖSTERGÖTLANDS LÄN</t>
        </is>
      </c>
      <c r="E629" t="inlineStr">
        <is>
          <t>NORRKÖPING</t>
        </is>
      </c>
      <c r="G629" t="n">
        <v>0.9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70005-2018</t>
        </is>
      </c>
      <c r="B630" s="1" t="n">
        <v>43444</v>
      </c>
      <c r="C630" s="1" t="n">
        <v>45211</v>
      </c>
      <c r="D630" t="inlineStr">
        <is>
          <t>ÖSTERGÖTLANDS LÄN</t>
        </is>
      </c>
      <c r="E630" t="inlineStr">
        <is>
          <t>LINKÖPING</t>
        </is>
      </c>
      <c r="G630" t="n">
        <v>4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68847-2018</t>
        </is>
      </c>
      <c r="B631" s="1" t="n">
        <v>43444</v>
      </c>
      <c r="C631" s="1" t="n">
        <v>45211</v>
      </c>
      <c r="D631" t="inlineStr">
        <is>
          <t>ÖSTERGÖTLANDS LÄN</t>
        </is>
      </c>
      <c r="E631" t="inlineStr">
        <is>
          <t>MOTALA</t>
        </is>
      </c>
      <c r="G631" t="n">
        <v>5.8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68943-2018</t>
        </is>
      </c>
      <c r="B632" s="1" t="n">
        <v>43444</v>
      </c>
      <c r="C632" s="1" t="n">
        <v>45211</v>
      </c>
      <c r="D632" t="inlineStr">
        <is>
          <t>ÖSTERGÖTLANDS LÄN</t>
        </is>
      </c>
      <c r="E632" t="inlineStr">
        <is>
          <t>MOTALA</t>
        </is>
      </c>
      <c r="G632" t="n">
        <v>0.8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68772-2018</t>
        </is>
      </c>
      <c r="B633" s="1" t="n">
        <v>43444</v>
      </c>
      <c r="C633" s="1" t="n">
        <v>45211</v>
      </c>
      <c r="D633" t="inlineStr">
        <is>
          <t>ÖSTERGÖTLANDS LÄN</t>
        </is>
      </c>
      <c r="E633" t="inlineStr">
        <is>
          <t>LINKÖPING</t>
        </is>
      </c>
      <c r="G633" t="n">
        <v>2.4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68787-2018</t>
        </is>
      </c>
      <c r="B634" s="1" t="n">
        <v>43444</v>
      </c>
      <c r="C634" s="1" t="n">
        <v>45211</v>
      </c>
      <c r="D634" t="inlineStr">
        <is>
          <t>ÖSTERGÖTLANDS LÄN</t>
        </is>
      </c>
      <c r="E634" t="inlineStr">
        <is>
          <t>LINKÖPING</t>
        </is>
      </c>
      <c r="G634" t="n">
        <v>1.3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68815-2018</t>
        </is>
      </c>
      <c r="B635" s="1" t="n">
        <v>43444</v>
      </c>
      <c r="C635" s="1" t="n">
        <v>45211</v>
      </c>
      <c r="D635" t="inlineStr">
        <is>
          <t>ÖSTERGÖTLANDS LÄN</t>
        </is>
      </c>
      <c r="E635" t="inlineStr">
        <is>
          <t>LINKÖPING</t>
        </is>
      </c>
      <c r="G635" t="n">
        <v>0.6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69206-2018</t>
        </is>
      </c>
      <c r="B636" s="1" t="n">
        <v>43445</v>
      </c>
      <c r="C636" s="1" t="n">
        <v>45211</v>
      </c>
      <c r="D636" t="inlineStr">
        <is>
          <t>ÖSTERGÖTLANDS LÄN</t>
        </is>
      </c>
      <c r="E636" t="inlineStr">
        <is>
          <t>ÖDESHÖG</t>
        </is>
      </c>
      <c r="F636" t="inlineStr">
        <is>
          <t>Allmännings- och besparingsskogar</t>
        </is>
      </c>
      <c r="G636" t="n">
        <v>0.3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69058-2018</t>
        </is>
      </c>
      <c r="B637" s="1" t="n">
        <v>43445</v>
      </c>
      <c r="C637" s="1" t="n">
        <v>45211</v>
      </c>
      <c r="D637" t="inlineStr">
        <is>
          <t>ÖSTERGÖTLANDS LÄN</t>
        </is>
      </c>
      <c r="E637" t="inlineStr">
        <is>
          <t>YDRE</t>
        </is>
      </c>
      <c r="G637" t="n">
        <v>0.5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70000-2018</t>
        </is>
      </c>
      <c r="B638" s="1" t="n">
        <v>43445</v>
      </c>
      <c r="C638" s="1" t="n">
        <v>45211</v>
      </c>
      <c r="D638" t="inlineStr">
        <is>
          <t>ÖSTERGÖTLANDS LÄN</t>
        </is>
      </c>
      <c r="E638" t="inlineStr">
        <is>
          <t>FINSPÅNG</t>
        </is>
      </c>
      <c r="G638" t="n">
        <v>4.9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70312-2018</t>
        </is>
      </c>
      <c r="B639" s="1" t="n">
        <v>43445</v>
      </c>
      <c r="C639" s="1" t="n">
        <v>45211</v>
      </c>
      <c r="D639" t="inlineStr">
        <is>
          <t>ÖSTERGÖTLANDS LÄN</t>
        </is>
      </c>
      <c r="E639" t="inlineStr">
        <is>
          <t>YDRE</t>
        </is>
      </c>
      <c r="G639" t="n">
        <v>2.1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70323-2018</t>
        </is>
      </c>
      <c r="B640" s="1" t="n">
        <v>43445</v>
      </c>
      <c r="C640" s="1" t="n">
        <v>45211</v>
      </c>
      <c r="D640" t="inlineStr">
        <is>
          <t>ÖSTERGÖTLANDS LÄN</t>
        </is>
      </c>
      <c r="E640" t="inlineStr">
        <is>
          <t>KINDA</t>
        </is>
      </c>
      <c r="G640" t="n">
        <v>11.2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69210-2018</t>
        </is>
      </c>
      <c r="B641" s="1" t="n">
        <v>43445</v>
      </c>
      <c r="C641" s="1" t="n">
        <v>45211</v>
      </c>
      <c r="D641" t="inlineStr">
        <is>
          <t>ÖSTERGÖTLANDS LÄN</t>
        </is>
      </c>
      <c r="E641" t="inlineStr">
        <is>
          <t>FINSPÅNG</t>
        </is>
      </c>
      <c r="F641" t="inlineStr">
        <is>
          <t>Holmen skog AB</t>
        </is>
      </c>
      <c r="G641" t="n">
        <v>15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69204-2018</t>
        </is>
      </c>
      <c r="B642" s="1" t="n">
        <v>43445</v>
      </c>
      <c r="C642" s="1" t="n">
        <v>45211</v>
      </c>
      <c r="D642" t="inlineStr">
        <is>
          <t>ÖSTERGÖTLANDS LÄN</t>
        </is>
      </c>
      <c r="E642" t="inlineStr">
        <is>
          <t>ÖDESHÖG</t>
        </is>
      </c>
      <c r="F642" t="inlineStr">
        <is>
          <t>Allmännings- och besparingsskogar</t>
        </is>
      </c>
      <c r="G642" t="n">
        <v>2.8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70152-2018</t>
        </is>
      </c>
      <c r="B643" s="1" t="n">
        <v>43445</v>
      </c>
      <c r="C643" s="1" t="n">
        <v>45211</v>
      </c>
      <c r="D643" t="inlineStr">
        <is>
          <t>ÖSTERGÖTLANDS LÄN</t>
        </is>
      </c>
      <c r="E643" t="inlineStr">
        <is>
          <t>NORRKÖPING</t>
        </is>
      </c>
      <c r="G643" t="n">
        <v>0.6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70297-2018</t>
        </is>
      </c>
      <c r="B644" s="1" t="n">
        <v>43445</v>
      </c>
      <c r="C644" s="1" t="n">
        <v>45211</v>
      </c>
      <c r="D644" t="inlineStr">
        <is>
          <t>ÖSTERGÖTLANDS LÄN</t>
        </is>
      </c>
      <c r="E644" t="inlineStr">
        <is>
          <t>NORRKÖPING</t>
        </is>
      </c>
      <c r="G644" t="n">
        <v>3.7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70324-2018</t>
        </is>
      </c>
      <c r="B645" s="1" t="n">
        <v>43445</v>
      </c>
      <c r="C645" s="1" t="n">
        <v>45211</v>
      </c>
      <c r="D645" t="inlineStr">
        <is>
          <t>ÖSTERGÖTLANDS LÄN</t>
        </is>
      </c>
      <c r="E645" t="inlineStr">
        <is>
          <t>KINDA</t>
        </is>
      </c>
      <c r="G645" t="n">
        <v>1.4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69437-2018</t>
        </is>
      </c>
      <c r="B646" s="1" t="n">
        <v>43446</v>
      </c>
      <c r="C646" s="1" t="n">
        <v>45211</v>
      </c>
      <c r="D646" t="inlineStr">
        <is>
          <t>ÖSTERGÖTLANDS LÄN</t>
        </is>
      </c>
      <c r="E646" t="inlineStr">
        <is>
          <t>MJÖLBY</t>
        </is>
      </c>
      <c r="G646" t="n">
        <v>2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69565-2018</t>
        </is>
      </c>
      <c r="B647" s="1" t="n">
        <v>43446</v>
      </c>
      <c r="C647" s="1" t="n">
        <v>45211</v>
      </c>
      <c r="D647" t="inlineStr">
        <is>
          <t>ÖSTERGÖTLANDS LÄN</t>
        </is>
      </c>
      <c r="E647" t="inlineStr">
        <is>
          <t>LINKÖPING</t>
        </is>
      </c>
      <c r="G647" t="n">
        <v>1.4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69485-2018</t>
        </is>
      </c>
      <c r="B648" s="1" t="n">
        <v>43446</v>
      </c>
      <c r="C648" s="1" t="n">
        <v>45211</v>
      </c>
      <c r="D648" t="inlineStr">
        <is>
          <t>ÖSTERGÖTLANDS LÄN</t>
        </is>
      </c>
      <c r="E648" t="inlineStr">
        <is>
          <t>KINDA</t>
        </is>
      </c>
      <c r="G648" t="n">
        <v>3.7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69581-2018</t>
        </is>
      </c>
      <c r="B649" s="1" t="n">
        <v>43446</v>
      </c>
      <c r="C649" s="1" t="n">
        <v>45211</v>
      </c>
      <c r="D649" t="inlineStr">
        <is>
          <t>ÖSTERGÖTLANDS LÄN</t>
        </is>
      </c>
      <c r="E649" t="inlineStr">
        <is>
          <t>LINKÖPING</t>
        </is>
      </c>
      <c r="G649" t="n">
        <v>2.6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70363-2018</t>
        </is>
      </c>
      <c r="B650" s="1" t="n">
        <v>43446</v>
      </c>
      <c r="C650" s="1" t="n">
        <v>45211</v>
      </c>
      <c r="D650" t="inlineStr">
        <is>
          <t>ÖSTERGÖTLANDS LÄN</t>
        </is>
      </c>
      <c r="E650" t="inlineStr">
        <is>
          <t>LINKÖPING</t>
        </is>
      </c>
      <c r="G650" t="n">
        <v>0.4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69436-2018</t>
        </is>
      </c>
      <c r="B651" s="1" t="n">
        <v>43446</v>
      </c>
      <c r="C651" s="1" t="n">
        <v>45211</v>
      </c>
      <c r="D651" t="inlineStr">
        <is>
          <t>ÖSTERGÖTLANDS LÄN</t>
        </is>
      </c>
      <c r="E651" t="inlineStr">
        <is>
          <t>KINDA</t>
        </is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69588-2018</t>
        </is>
      </c>
      <c r="B652" s="1" t="n">
        <v>43446</v>
      </c>
      <c r="C652" s="1" t="n">
        <v>45211</v>
      </c>
      <c r="D652" t="inlineStr">
        <is>
          <t>ÖSTERGÖTLANDS LÄN</t>
        </is>
      </c>
      <c r="E652" t="inlineStr">
        <is>
          <t>MOTALA</t>
        </is>
      </c>
      <c r="G652" t="n">
        <v>0.5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69525-2018</t>
        </is>
      </c>
      <c r="B653" s="1" t="n">
        <v>43446</v>
      </c>
      <c r="C653" s="1" t="n">
        <v>45211</v>
      </c>
      <c r="D653" t="inlineStr">
        <is>
          <t>ÖSTERGÖTLANDS LÄN</t>
        </is>
      </c>
      <c r="E653" t="inlineStr">
        <is>
          <t>LINKÖPING</t>
        </is>
      </c>
      <c r="G653" t="n">
        <v>1.5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69566-2018</t>
        </is>
      </c>
      <c r="B654" s="1" t="n">
        <v>43446</v>
      </c>
      <c r="C654" s="1" t="n">
        <v>45211</v>
      </c>
      <c r="D654" t="inlineStr">
        <is>
          <t>ÖSTERGÖTLANDS LÄN</t>
        </is>
      </c>
      <c r="E654" t="inlineStr">
        <is>
          <t>LINKÖPING</t>
        </is>
      </c>
      <c r="G654" t="n">
        <v>1.4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69837-2018</t>
        </is>
      </c>
      <c r="B655" s="1" t="n">
        <v>43447</v>
      </c>
      <c r="C655" s="1" t="n">
        <v>45211</v>
      </c>
      <c r="D655" t="inlineStr">
        <is>
          <t>ÖSTERGÖTLANDS LÄN</t>
        </is>
      </c>
      <c r="E655" t="inlineStr">
        <is>
          <t>NORRKÖPING</t>
        </is>
      </c>
      <c r="G655" t="n">
        <v>1.2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69782-2018</t>
        </is>
      </c>
      <c r="B656" s="1" t="n">
        <v>43447</v>
      </c>
      <c r="C656" s="1" t="n">
        <v>45211</v>
      </c>
      <c r="D656" t="inlineStr">
        <is>
          <t>ÖSTERGÖTLANDS LÄN</t>
        </is>
      </c>
      <c r="E656" t="inlineStr">
        <is>
          <t>VALDEMARSVIK</t>
        </is>
      </c>
      <c r="G656" t="n">
        <v>1.1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70439-2018</t>
        </is>
      </c>
      <c r="B657" s="1" t="n">
        <v>43447</v>
      </c>
      <c r="C657" s="1" t="n">
        <v>45211</v>
      </c>
      <c r="D657" t="inlineStr">
        <is>
          <t>ÖSTERGÖTLANDS LÄN</t>
        </is>
      </c>
      <c r="E657" t="inlineStr">
        <is>
          <t>MJÖLBY</t>
        </is>
      </c>
      <c r="G657" t="n">
        <v>0.8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70698-2018</t>
        </is>
      </c>
      <c r="B658" s="1" t="n">
        <v>43447</v>
      </c>
      <c r="C658" s="1" t="n">
        <v>45211</v>
      </c>
      <c r="D658" t="inlineStr">
        <is>
          <t>ÖSTERGÖTLANDS LÄN</t>
        </is>
      </c>
      <c r="E658" t="inlineStr">
        <is>
          <t>LINKÖPING</t>
        </is>
      </c>
      <c r="G658" t="n">
        <v>1.2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69914-2018</t>
        </is>
      </c>
      <c r="B659" s="1" t="n">
        <v>43447</v>
      </c>
      <c r="C659" s="1" t="n">
        <v>45211</v>
      </c>
      <c r="D659" t="inlineStr">
        <is>
          <t>ÖSTERGÖTLANDS LÄN</t>
        </is>
      </c>
      <c r="E659" t="inlineStr">
        <is>
          <t>LINKÖPING</t>
        </is>
      </c>
      <c r="G659" t="n">
        <v>1.2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69951-2018</t>
        </is>
      </c>
      <c r="B660" s="1" t="n">
        <v>43447</v>
      </c>
      <c r="C660" s="1" t="n">
        <v>45211</v>
      </c>
      <c r="D660" t="inlineStr">
        <is>
          <t>ÖSTERGÖTLANDS LÄN</t>
        </is>
      </c>
      <c r="E660" t="inlineStr">
        <is>
          <t>NORRKÖPING</t>
        </is>
      </c>
      <c r="F660" t="inlineStr">
        <is>
          <t>Allmännings- och besparingsskogar</t>
        </is>
      </c>
      <c r="G660" t="n">
        <v>4.1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70614-2018</t>
        </is>
      </c>
      <c r="B661" s="1" t="n">
        <v>43451</v>
      </c>
      <c r="C661" s="1" t="n">
        <v>45211</v>
      </c>
      <c r="D661" t="inlineStr">
        <is>
          <t>ÖSTERGÖTLANDS LÄN</t>
        </is>
      </c>
      <c r="E661" t="inlineStr">
        <is>
          <t>YDRE</t>
        </is>
      </c>
      <c r="G661" t="n">
        <v>0.8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70764-2018</t>
        </is>
      </c>
      <c r="B662" s="1" t="n">
        <v>43451</v>
      </c>
      <c r="C662" s="1" t="n">
        <v>45211</v>
      </c>
      <c r="D662" t="inlineStr">
        <is>
          <t>ÖSTERGÖTLANDS LÄN</t>
        </is>
      </c>
      <c r="E662" t="inlineStr">
        <is>
          <t>SÖDERKÖPING</t>
        </is>
      </c>
      <c r="G662" t="n">
        <v>5.3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70574-2018</t>
        </is>
      </c>
      <c r="B663" s="1" t="n">
        <v>43451</v>
      </c>
      <c r="C663" s="1" t="n">
        <v>45211</v>
      </c>
      <c r="D663" t="inlineStr">
        <is>
          <t>ÖSTERGÖTLANDS LÄN</t>
        </is>
      </c>
      <c r="E663" t="inlineStr">
        <is>
          <t>LINKÖPING</t>
        </is>
      </c>
      <c r="G663" t="n">
        <v>1.5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70765-2018</t>
        </is>
      </c>
      <c r="B664" s="1" t="n">
        <v>43451</v>
      </c>
      <c r="C664" s="1" t="n">
        <v>45211</v>
      </c>
      <c r="D664" t="inlineStr">
        <is>
          <t>ÖSTERGÖTLANDS LÄN</t>
        </is>
      </c>
      <c r="E664" t="inlineStr">
        <is>
          <t>MJÖLBY</t>
        </is>
      </c>
      <c r="G664" t="n">
        <v>6.2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70570-2018</t>
        </is>
      </c>
      <c r="B665" s="1" t="n">
        <v>43451</v>
      </c>
      <c r="C665" s="1" t="n">
        <v>45211</v>
      </c>
      <c r="D665" t="inlineStr">
        <is>
          <t>ÖSTERGÖTLANDS LÄN</t>
        </is>
      </c>
      <c r="E665" t="inlineStr">
        <is>
          <t>MJÖLBY</t>
        </is>
      </c>
      <c r="G665" t="n">
        <v>3.4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71300-2018</t>
        </is>
      </c>
      <c r="B666" s="1" t="n">
        <v>43451</v>
      </c>
      <c r="C666" s="1" t="n">
        <v>45211</v>
      </c>
      <c r="D666" t="inlineStr">
        <is>
          <t>ÖSTERGÖTLANDS LÄN</t>
        </is>
      </c>
      <c r="E666" t="inlineStr">
        <is>
          <t>YDRE</t>
        </is>
      </c>
      <c r="G666" t="n">
        <v>3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70586-2018</t>
        </is>
      </c>
      <c r="B667" s="1" t="n">
        <v>43451</v>
      </c>
      <c r="C667" s="1" t="n">
        <v>45211</v>
      </c>
      <c r="D667" t="inlineStr">
        <is>
          <t>ÖSTERGÖTLANDS LÄN</t>
        </is>
      </c>
      <c r="E667" t="inlineStr">
        <is>
          <t>MJÖLBY</t>
        </is>
      </c>
      <c r="G667" t="n">
        <v>4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70862-2018</t>
        </is>
      </c>
      <c r="B668" s="1" t="n">
        <v>43451</v>
      </c>
      <c r="C668" s="1" t="n">
        <v>45211</v>
      </c>
      <c r="D668" t="inlineStr">
        <is>
          <t>ÖSTERGÖTLANDS LÄN</t>
        </is>
      </c>
      <c r="E668" t="inlineStr">
        <is>
          <t>LINKÖPING</t>
        </is>
      </c>
      <c r="G668" t="n">
        <v>2.1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71018-2018</t>
        </is>
      </c>
      <c r="B669" s="1" t="n">
        <v>43452</v>
      </c>
      <c r="C669" s="1" t="n">
        <v>45211</v>
      </c>
      <c r="D669" t="inlineStr">
        <is>
          <t>ÖSTERGÖTLANDS LÄN</t>
        </is>
      </c>
      <c r="E669" t="inlineStr">
        <is>
          <t>SÖDERKÖPING</t>
        </is>
      </c>
      <c r="G669" t="n">
        <v>4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71050-2018</t>
        </is>
      </c>
      <c r="B670" s="1" t="n">
        <v>43452</v>
      </c>
      <c r="C670" s="1" t="n">
        <v>45211</v>
      </c>
      <c r="D670" t="inlineStr">
        <is>
          <t>ÖSTERGÖTLANDS LÄN</t>
        </is>
      </c>
      <c r="E670" t="inlineStr">
        <is>
          <t>YDRE</t>
        </is>
      </c>
      <c r="G670" t="n">
        <v>18.1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71264-2018</t>
        </is>
      </c>
      <c r="B671" s="1" t="n">
        <v>43453</v>
      </c>
      <c r="C671" s="1" t="n">
        <v>45211</v>
      </c>
      <c r="D671" t="inlineStr">
        <is>
          <t>ÖSTERGÖTLANDS LÄN</t>
        </is>
      </c>
      <c r="E671" t="inlineStr">
        <is>
          <t>MOTALA</t>
        </is>
      </c>
      <c r="G671" t="n">
        <v>4.4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71353-2018</t>
        </is>
      </c>
      <c r="B672" s="1" t="n">
        <v>43453</v>
      </c>
      <c r="C672" s="1" t="n">
        <v>45211</v>
      </c>
      <c r="D672" t="inlineStr">
        <is>
          <t>ÖSTERGÖTLANDS LÄN</t>
        </is>
      </c>
      <c r="E672" t="inlineStr">
        <is>
          <t>FINSPÅNG</t>
        </is>
      </c>
      <c r="G672" t="n">
        <v>8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71238-2018</t>
        </is>
      </c>
      <c r="B673" s="1" t="n">
        <v>43453</v>
      </c>
      <c r="C673" s="1" t="n">
        <v>45211</v>
      </c>
      <c r="D673" t="inlineStr">
        <is>
          <t>ÖSTERGÖTLANDS LÄN</t>
        </is>
      </c>
      <c r="E673" t="inlineStr">
        <is>
          <t>LINKÖPING</t>
        </is>
      </c>
      <c r="F673" t="inlineStr">
        <is>
          <t>Kommuner</t>
        </is>
      </c>
      <c r="G673" t="n">
        <v>1.2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71290-2018</t>
        </is>
      </c>
      <c r="B674" s="1" t="n">
        <v>43453</v>
      </c>
      <c r="C674" s="1" t="n">
        <v>45211</v>
      </c>
      <c r="D674" t="inlineStr">
        <is>
          <t>ÖSTERGÖTLANDS LÄN</t>
        </is>
      </c>
      <c r="E674" t="inlineStr">
        <is>
          <t>MOTALA</t>
        </is>
      </c>
      <c r="F674" t="inlineStr">
        <is>
          <t>Kommuner</t>
        </is>
      </c>
      <c r="G674" t="n">
        <v>6.7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71706-2018</t>
        </is>
      </c>
      <c r="B675" s="1" t="n">
        <v>43454</v>
      </c>
      <c r="C675" s="1" t="n">
        <v>45211</v>
      </c>
      <c r="D675" t="inlineStr">
        <is>
          <t>ÖSTERGÖTLANDS LÄN</t>
        </is>
      </c>
      <c r="E675" t="inlineStr">
        <is>
          <t>ÅTVIDABERG</t>
        </is>
      </c>
      <c r="G675" t="n">
        <v>1.9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73-2019</t>
        </is>
      </c>
      <c r="B676" s="1" t="n">
        <v>43454</v>
      </c>
      <c r="C676" s="1" t="n">
        <v>45211</v>
      </c>
      <c r="D676" t="inlineStr">
        <is>
          <t>ÖSTERGÖTLANDS LÄN</t>
        </is>
      </c>
      <c r="E676" t="inlineStr">
        <is>
          <t>KINDA</t>
        </is>
      </c>
      <c r="G676" t="n">
        <v>1.1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71710-2018</t>
        </is>
      </c>
      <c r="B677" s="1" t="n">
        <v>43454</v>
      </c>
      <c r="C677" s="1" t="n">
        <v>45211</v>
      </c>
      <c r="D677" t="inlineStr">
        <is>
          <t>ÖSTERGÖTLANDS LÄN</t>
        </is>
      </c>
      <c r="E677" t="inlineStr">
        <is>
          <t>VALDEMARSVIK</t>
        </is>
      </c>
      <c r="G677" t="n">
        <v>13.9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72515-2018</t>
        </is>
      </c>
      <c r="B678" s="1" t="n">
        <v>43454</v>
      </c>
      <c r="C678" s="1" t="n">
        <v>45211</v>
      </c>
      <c r="D678" t="inlineStr">
        <is>
          <t>ÖSTERGÖTLANDS LÄN</t>
        </is>
      </c>
      <c r="E678" t="inlineStr">
        <is>
          <t>MOTALA</t>
        </is>
      </c>
      <c r="F678" t="inlineStr">
        <is>
          <t>Kommuner</t>
        </is>
      </c>
      <c r="G678" t="n">
        <v>1.1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71818-2018</t>
        </is>
      </c>
      <c r="B679" s="1" t="n">
        <v>43454</v>
      </c>
      <c r="C679" s="1" t="n">
        <v>45211</v>
      </c>
      <c r="D679" t="inlineStr">
        <is>
          <t>ÖSTERGÖTLANDS LÄN</t>
        </is>
      </c>
      <c r="E679" t="inlineStr">
        <is>
          <t>KINDA</t>
        </is>
      </c>
      <c r="G679" t="n">
        <v>6.6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71591-2018</t>
        </is>
      </c>
      <c r="B680" s="1" t="n">
        <v>43454</v>
      </c>
      <c r="C680" s="1" t="n">
        <v>45211</v>
      </c>
      <c r="D680" t="inlineStr">
        <is>
          <t>ÖSTERGÖTLANDS LÄN</t>
        </is>
      </c>
      <c r="E680" t="inlineStr">
        <is>
          <t>FINSPÅNG</t>
        </is>
      </c>
      <c r="G680" t="n">
        <v>0.2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71643-2018</t>
        </is>
      </c>
      <c r="B681" s="1" t="n">
        <v>43454</v>
      </c>
      <c r="C681" s="1" t="n">
        <v>45211</v>
      </c>
      <c r="D681" t="inlineStr">
        <is>
          <t>ÖSTERGÖTLANDS LÄN</t>
        </is>
      </c>
      <c r="E681" t="inlineStr">
        <is>
          <t>VALDEMARSVIK</t>
        </is>
      </c>
      <c r="G681" t="n">
        <v>2.6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648-2019</t>
        </is>
      </c>
      <c r="B682" s="1" t="n">
        <v>43455</v>
      </c>
      <c r="C682" s="1" t="n">
        <v>45211</v>
      </c>
      <c r="D682" t="inlineStr">
        <is>
          <t>ÖSTERGÖTLANDS LÄN</t>
        </is>
      </c>
      <c r="E682" t="inlineStr">
        <is>
          <t>YDRE</t>
        </is>
      </c>
      <c r="G682" t="n">
        <v>8.800000000000001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71903-2018</t>
        </is>
      </c>
      <c r="B683" s="1" t="n">
        <v>43455</v>
      </c>
      <c r="C683" s="1" t="n">
        <v>45211</v>
      </c>
      <c r="D683" t="inlineStr">
        <is>
          <t>ÖSTERGÖTLANDS LÄN</t>
        </is>
      </c>
      <c r="E683" t="inlineStr">
        <is>
          <t>YDRE</t>
        </is>
      </c>
      <c r="F683" t="inlineStr">
        <is>
          <t>Kyrkan</t>
        </is>
      </c>
      <c r="G683" t="n">
        <v>0.5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499-2019</t>
        </is>
      </c>
      <c r="B684" s="1" t="n">
        <v>43455</v>
      </c>
      <c r="C684" s="1" t="n">
        <v>45211</v>
      </c>
      <c r="D684" t="inlineStr">
        <is>
          <t>ÖSTERGÖTLANDS LÄN</t>
        </is>
      </c>
      <c r="E684" t="inlineStr">
        <is>
          <t>MJÖLBY</t>
        </is>
      </c>
      <c r="G684" t="n">
        <v>1.8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72379-2018</t>
        </is>
      </c>
      <c r="B685" s="1" t="n">
        <v>43461</v>
      </c>
      <c r="C685" s="1" t="n">
        <v>45211</v>
      </c>
      <c r="D685" t="inlineStr">
        <is>
          <t>ÖSTERGÖTLANDS LÄN</t>
        </is>
      </c>
      <c r="E685" t="inlineStr">
        <is>
          <t>VADSTENA</t>
        </is>
      </c>
      <c r="G685" t="n">
        <v>0.9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72388-2018</t>
        </is>
      </c>
      <c r="B686" s="1" t="n">
        <v>43461</v>
      </c>
      <c r="C686" s="1" t="n">
        <v>45211</v>
      </c>
      <c r="D686" t="inlineStr">
        <is>
          <t>ÖSTERGÖTLANDS LÄN</t>
        </is>
      </c>
      <c r="E686" t="inlineStr">
        <is>
          <t>VALDEMARSVIK</t>
        </is>
      </c>
      <c r="G686" t="n">
        <v>1.5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72426-2018</t>
        </is>
      </c>
      <c r="B687" s="1" t="n">
        <v>43461</v>
      </c>
      <c r="C687" s="1" t="n">
        <v>45211</v>
      </c>
      <c r="D687" t="inlineStr">
        <is>
          <t>ÖSTERGÖTLANDS LÄN</t>
        </is>
      </c>
      <c r="E687" t="inlineStr">
        <is>
          <t>SÖDERKÖPING</t>
        </is>
      </c>
      <c r="G687" t="n">
        <v>0.5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72387-2018</t>
        </is>
      </c>
      <c r="B688" s="1" t="n">
        <v>43461</v>
      </c>
      <c r="C688" s="1" t="n">
        <v>45211</v>
      </c>
      <c r="D688" t="inlineStr">
        <is>
          <t>ÖSTERGÖTLANDS LÄN</t>
        </is>
      </c>
      <c r="E688" t="inlineStr">
        <is>
          <t>VALDEMARSVIK</t>
        </is>
      </c>
      <c r="G688" t="n">
        <v>2.3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72389-2018</t>
        </is>
      </c>
      <c r="B689" s="1" t="n">
        <v>43461</v>
      </c>
      <c r="C689" s="1" t="n">
        <v>45211</v>
      </c>
      <c r="D689" t="inlineStr">
        <is>
          <t>ÖSTERGÖTLANDS LÄN</t>
        </is>
      </c>
      <c r="E689" t="inlineStr">
        <is>
          <t>VALDEMARSVIK</t>
        </is>
      </c>
      <c r="G689" t="n">
        <v>0.8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1448-2019</t>
        </is>
      </c>
      <c r="B690" s="1" t="n">
        <v>43461</v>
      </c>
      <c r="C690" s="1" t="n">
        <v>45211</v>
      </c>
      <c r="D690" t="inlineStr">
        <is>
          <t>ÖSTERGÖTLANDS LÄN</t>
        </is>
      </c>
      <c r="E690" t="inlineStr">
        <is>
          <t>BOXHOLM</t>
        </is>
      </c>
      <c r="G690" t="n">
        <v>6.9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46-2019</t>
        </is>
      </c>
      <c r="B691" s="1" t="n">
        <v>43467</v>
      </c>
      <c r="C691" s="1" t="n">
        <v>45211</v>
      </c>
      <c r="D691" t="inlineStr">
        <is>
          <t>ÖSTERGÖTLANDS LÄN</t>
        </is>
      </c>
      <c r="E691" t="inlineStr">
        <is>
          <t>KINDA</t>
        </is>
      </c>
      <c r="G691" t="n">
        <v>1.1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48-2019</t>
        </is>
      </c>
      <c r="B692" s="1" t="n">
        <v>43467</v>
      </c>
      <c r="C692" s="1" t="n">
        <v>45211</v>
      </c>
      <c r="D692" t="inlineStr">
        <is>
          <t>ÖSTERGÖTLANDS LÄN</t>
        </is>
      </c>
      <c r="E692" t="inlineStr">
        <is>
          <t>KINDA</t>
        </is>
      </c>
      <c r="G692" t="n">
        <v>1.4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2188-2019</t>
        </is>
      </c>
      <c r="B693" s="1" t="n">
        <v>43468</v>
      </c>
      <c r="C693" s="1" t="n">
        <v>45211</v>
      </c>
      <c r="D693" t="inlineStr">
        <is>
          <t>ÖSTERGÖTLANDS LÄN</t>
        </is>
      </c>
      <c r="E693" t="inlineStr">
        <is>
          <t>YDRE</t>
        </is>
      </c>
      <c r="G693" t="n">
        <v>5.3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2373-2019</t>
        </is>
      </c>
      <c r="B694" s="1" t="n">
        <v>43468</v>
      </c>
      <c r="C694" s="1" t="n">
        <v>45211</v>
      </c>
      <c r="D694" t="inlineStr">
        <is>
          <t>ÖSTERGÖTLANDS LÄN</t>
        </is>
      </c>
      <c r="E694" t="inlineStr">
        <is>
          <t>KINDA</t>
        </is>
      </c>
      <c r="G694" t="n">
        <v>0.2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262-2019</t>
        </is>
      </c>
      <c r="B695" s="1" t="n">
        <v>43468</v>
      </c>
      <c r="C695" s="1" t="n">
        <v>45211</v>
      </c>
      <c r="D695" t="inlineStr">
        <is>
          <t>ÖSTERGÖTLANDS LÄN</t>
        </is>
      </c>
      <c r="E695" t="inlineStr">
        <is>
          <t>ÅTVIDABERG</t>
        </is>
      </c>
      <c r="G695" t="n">
        <v>5.2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333-2019</t>
        </is>
      </c>
      <c r="B696" s="1" t="n">
        <v>43468</v>
      </c>
      <c r="C696" s="1" t="n">
        <v>45211</v>
      </c>
      <c r="D696" t="inlineStr">
        <is>
          <t>ÖSTERGÖTLANDS LÄN</t>
        </is>
      </c>
      <c r="E696" t="inlineStr">
        <is>
          <t>LINKÖPING</t>
        </is>
      </c>
      <c r="G696" t="n">
        <v>4.9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2197-2019</t>
        </is>
      </c>
      <c r="B697" s="1" t="n">
        <v>43468</v>
      </c>
      <c r="C697" s="1" t="n">
        <v>45211</v>
      </c>
      <c r="D697" t="inlineStr">
        <is>
          <t>ÖSTERGÖTLANDS LÄN</t>
        </is>
      </c>
      <c r="E697" t="inlineStr">
        <is>
          <t>YDRE</t>
        </is>
      </c>
      <c r="G697" t="n">
        <v>0.7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274-2019</t>
        </is>
      </c>
      <c r="B698" s="1" t="n">
        <v>43468</v>
      </c>
      <c r="C698" s="1" t="n">
        <v>45211</v>
      </c>
      <c r="D698" t="inlineStr">
        <is>
          <t>ÖSTERGÖTLANDS LÄN</t>
        </is>
      </c>
      <c r="E698" t="inlineStr">
        <is>
          <t>ÖDESHÖG</t>
        </is>
      </c>
      <c r="G698" t="n">
        <v>4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2319-2019</t>
        </is>
      </c>
      <c r="B699" s="1" t="n">
        <v>43468</v>
      </c>
      <c r="C699" s="1" t="n">
        <v>45211</v>
      </c>
      <c r="D699" t="inlineStr">
        <is>
          <t>ÖSTERGÖTLANDS LÄN</t>
        </is>
      </c>
      <c r="E699" t="inlineStr">
        <is>
          <t>KINDA</t>
        </is>
      </c>
      <c r="G699" t="n">
        <v>5.7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330-2019</t>
        </is>
      </c>
      <c r="B700" s="1" t="n">
        <v>43468</v>
      </c>
      <c r="C700" s="1" t="n">
        <v>45211</v>
      </c>
      <c r="D700" t="inlineStr">
        <is>
          <t>ÖSTERGÖTLANDS LÄN</t>
        </is>
      </c>
      <c r="E700" t="inlineStr">
        <is>
          <t>LINKÖPING</t>
        </is>
      </c>
      <c r="G700" t="n">
        <v>1.5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2810-2019</t>
        </is>
      </c>
      <c r="B701" s="1" t="n">
        <v>43469</v>
      </c>
      <c r="C701" s="1" t="n">
        <v>45211</v>
      </c>
      <c r="D701" t="inlineStr">
        <is>
          <t>ÖSTERGÖTLANDS LÄN</t>
        </is>
      </c>
      <c r="E701" t="inlineStr">
        <is>
          <t>LINKÖPING</t>
        </is>
      </c>
      <c r="G701" t="n">
        <v>1.3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580-2019</t>
        </is>
      </c>
      <c r="B702" s="1" t="n">
        <v>43469</v>
      </c>
      <c r="C702" s="1" t="n">
        <v>45211</v>
      </c>
      <c r="D702" t="inlineStr">
        <is>
          <t>ÖSTERGÖTLANDS LÄN</t>
        </is>
      </c>
      <c r="E702" t="inlineStr">
        <is>
          <t>ÖDESHÖG</t>
        </is>
      </c>
      <c r="G702" t="n">
        <v>1.4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2812-2019</t>
        </is>
      </c>
      <c r="B703" s="1" t="n">
        <v>43469</v>
      </c>
      <c r="C703" s="1" t="n">
        <v>45211</v>
      </c>
      <c r="D703" t="inlineStr">
        <is>
          <t>ÖSTERGÖTLANDS LÄN</t>
        </is>
      </c>
      <c r="E703" t="inlineStr">
        <is>
          <t>LINKÖPING</t>
        </is>
      </c>
      <c r="G703" t="n">
        <v>1.6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1008-2019</t>
        </is>
      </c>
      <c r="B704" s="1" t="n">
        <v>43472</v>
      </c>
      <c r="C704" s="1" t="n">
        <v>45211</v>
      </c>
      <c r="D704" t="inlineStr">
        <is>
          <t>ÖSTERGÖTLANDS LÄN</t>
        </is>
      </c>
      <c r="E704" t="inlineStr">
        <is>
          <t>ÅTVIDABERG</t>
        </is>
      </c>
      <c r="G704" t="n">
        <v>0.5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846-2019</t>
        </is>
      </c>
      <c r="B705" s="1" t="n">
        <v>43472</v>
      </c>
      <c r="C705" s="1" t="n">
        <v>45211</v>
      </c>
      <c r="D705" t="inlineStr">
        <is>
          <t>ÖSTERGÖTLANDS LÄN</t>
        </is>
      </c>
      <c r="E705" t="inlineStr">
        <is>
          <t>LINKÖPING</t>
        </is>
      </c>
      <c r="G705" t="n">
        <v>1.1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1120-2019</t>
        </is>
      </c>
      <c r="B706" s="1" t="n">
        <v>43472</v>
      </c>
      <c r="C706" s="1" t="n">
        <v>45211</v>
      </c>
      <c r="D706" t="inlineStr">
        <is>
          <t>ÖSTERGÖTLANDS LÄN</t>
        </is>
      </c>
      <c r="E706" t="inlineStr">
        <is>
          <t>ÖDESHÖG</t>
        </is>
      </c>
      <c r="G706" t="n">
        <v>1.3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765-2019</t>
        </is>
      </c>
      <c r="B707" s="1" t="n">
        <v>43472</v>
      </c>
      <c r="C707" s="1" t="n">
        <v>45211</v>
      </c>
      <c r="D707" t="inlineStr">
        <is>
          <t>ÖSTERGÖTLANDS LÄN</t>
        </is>
      </c>
      <c r="E707" t="inlineStr">
        <is>
          <t>ÅTVIDABERG</t>
        </is>
      </c>
      <c r="G707" t="n">
        <v>0.5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1049-2019</t>
        </is>
      </c>
      <c r="B708" s="1" t="n">
        <v>43472</v>
      </c>
      <c r="C708" s="1" t="n">
        <v>45211</v>
      </c>
      <c r="D708" t="inlineStr">
        <is>
          <t>ÖSTERGÖTLANDS LÄN</t>
        </is>
      </c>
      <c r="E708" t="inlineStr">
        <is>
          <t>ÅTVIDABERG</t>
        </is>
      </c>
      <c r="G708" t="n">
        <v>1.9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850-2019</t>
        </is>
      </c>
      <c r="B709" s="1" t="n">
        <v>43472</v>
      </c>
      <c r="C709" s="1" t="n">
        <v>45211</v>
      </c>
      <c r="D709" t="inlineStr">
        <is>
          <t>ÖSTERGÖTLANDS LÄN</t>
        </is>
      </c>
      <c r="E709" t="inlineStr">
        <is>
          <t>LINKÖPING</t>
        </is>
      </c>
      <c r="G709" t="n">
        <v>2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1237-2019</t>
        </is>
      </c>
      <c r="B710" s="1" t="n">
        <v>43473</v>
      </c>
      <c r="C710" s="1" t="n">
        <v>45211</v>
      </c>
      <c r="D710" t="inlineStr">
        <is>
          <t>ÖSTERGÖTLANDS LÄN</t>
        </is>
      </c>
      <c r="E710" t="inlineStr">
        <is>
          <t>NORRKÖPING</t>
        </is>
      </c>
      <c r="G710" t="n">
        <v>1.9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3028-2019</t>
        </is>
      </c>
      <c r="B711" s="1" t="n">
        <v>43473</v>
      </c>
      <c r="C711" s="1" t="n">
        <v>45211</v>
      </c>
      <c r="D711" t="inlineStr">
        <is>
          <t>ÖSTERGÖTLANDS LÄN</t>
        </is>
      </c>
      <c r="E711" t="inlineStr">
        <is>
          <t>KINDA</t>
        </is>
      </c>
      <c r="G711" t="n">
        <v>1.1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1207-2019</t>
        </is>
      </c>
      <c r="B712" s="1" t="n">
        <v>43473</v>
      </c>
      <c r="C712" s="1" t="n">
        <v>45211</v>
      </c>
      <c r="D712" t="inlineStr">
        <is>
          <t>ÖSTERGÖTLANDS LÄN</t>
        </is>
      </c>
      <c r="E712" t="inlineStr">
        <is>
          <t>LINKÖPING</t>
        </is>
      </c>
      <c r="G712" t="n">
        <v>9.4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1531-2019</t>
        </is>
      </c>
      <c r="B713" s="1" t="n">
        <v>43473</v>
      </c>
      <c r="C713" s="1" t="n">
        <v>45211</v>
      </c>
      <c r="D713" t="inlineStr">
        <is>
          <t>ÖSTERGÖTLANDS LÄN</t>
        </is>
      </c>
      <c r="E713" t="inlineStr">
        <is>
          <t>ÖDESHÖG</t>
        </is>
      </c>
      <c r="G713" t="n">
        <v>2.9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2208-2019</t>
        </is>
      </c>
      <c r="B714" s="1" t="n">
        <v>43473</v>
      </c>
      <c r="C714" s="1" t="n">
        <v>45211</v>
      </c>
      <c r="D714" t="inlineStr">
        <is>
          <t>ÖSTERGÖTLANDS LÄN</t>
        </is>
      </c>
      <c r="E714" t="inlineStr">
        <is>
          <t>LINKÖPING</t>
        </is>
      </c>
      <c r="G714" t="n">
        <v>1.5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1239-2019</t>
        </is>
      </c>
      <c r="B715" s="1" t="n">
        <v>43473</v>
      </c>
      <c r="C715" s="1" t="n">
        <v>45211</v>
      </c>
      <c r="D715" t="inlineStr">
        <is>
          <t>ÖSTERGÖTLANDS LÄN</t>
        </is>
      </c>
      <c r="E715" t="inlineStr">
        <is>
          <t>NORRKÖPING</t>
        </is>
      </c>
      <c r="G715" t="n">
        <v>0.5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3296-2019</t>
        </is>
      </c>
      <c r="B716" s="1" t="n">
        <v>43474</v>
      </c>
      <c r="C716" s="1" t="n">
        <v>45211</v>
      </c>
      <c r="D716" t="inlineStr">
        <is>
          <t>ÖSTERGÖTLANDS LÄN</t>
        </is>
      </c>
      <c r="E716" t="inlineStr">
        <is>
          <t>KINDA</t>
        </is>
      </c>
      <c r="G716" t="n">
        <v>0.8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1614-2019</t>
        </is>
      </c>
      <c r="B717" s="1" t="n">
        <v>43474</v>
      </c>
      <c r="C717" s="1" t="n">
        <v>45211</v>
      </c>
      <c r="D717" t="inlineStr">
        <is>
          <t>ÖSTERGÖTLANDS LÄN</t>
        </is>
      </c>
      <c r="E717" t="inlineStr">
        <is>
          <t>ÅTVIDABERG</t>
        </is>
      </c>
      <c r="G717" t="n">
        <v>2.6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1837-2019</t>
        </is>
      </c>
      <c r="B718" s="1" t="n">
        <v>43474</v>
      </c>
      <c r="C718" s="1" t="n">
        <v>45211</v>
      </c>
      <c r="D718" t="inlineStr">
        <is>
          <t>ÖSTERGÖTLANDS LÄN</t>
        </is>
      </c>
      <c r="E718" t="inlineStr">
        <is>
          <t>NORRKÖPING</t>
        </is>
      </c>
      <c r="G718" t="n">
        <v>3.4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2063-2019</t>
        </is>
      </c>
      <c r="B719" s="1" t="n">
        <v>43475</v>
      </c>
      <c r="C719" s="1" t="n">
        <v>45211</v>
      </c>
      <c r="D719" t="inlineStr">
        <is>
          <t>ÖSTERGÖTLANDS LÄN</t>
        </is>
      </c>
      <c r="E719" t="inlineStr">
        <is>
          <t>KINDA</t>
        </is>
      </c>
      <c r="G719" t="n">
        <v>16.3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2226-2019</t>
        </is>
      </c>
      <c r="B720" s="1" t="n">
        <v>43475</v>
      </c>
      <c r="C720" s="1" t="n">
        <v>45211</v>
      </c>
      <c r="D720" t="inlineStr">
        <is>
          <t>ÖSTERGÖTLANDS LÄN</t>
        </is>
      </c>
      <c r="E720" t="inlineStr">
        <is>
          <t>YDRE</t>
        </is>
      </c>
      <c r="G720" t="n">
        <v>1.1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1936-2019</t>
        </is>
      </c>
      <c r="B721" s="1" t="n">
        <v>43475</v>
      </c>
      <c r="C721" s="1" t="n">
        <v>45211</v>
      </c>
      <c r="D721" t="inlineStr">
        <is>
          <t>ÖSTERGÖTLANDS LÄN</t>
        </is>
      </c>
      <c r="E721" t="inlineStr">
        <is>
          <t>MOTALA</t>
        </is>
      </c>
      <c r="G721" t="n">
        <v>0.2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2224-2019</t>
        </is>
      </c>
      <c r="B722" s="1" t="n">
        <v>43475</v>
      </c>
      <c r="C722" s="1" t="n">
        <v>45211</v>
      </c>
      <c r="D722" t="inlineStr">
        <is>
          <t>ÖSTERGÖTLANDS LÄN</t>
        </is>
      </c>
      <c r="E722" t="inlineStr">
        <is>
          <t>NORRKÖPING</t>
        </is>
      </c>
      <c r="G722" t="n">
        <v>5.1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1932-2019</t>
        </is>
      </c>
      <c r="B723" s="1" t="n">
        <v>43475</v>
      </c>
      <c r="C723" s="1" t="n">
        <v>45211</v>
      </c>
      <c r="D723" t="inlineStr">
        <is>
          <t>ÖSTERGÖTLANDS LÄN</t>
        </is>
      </c>
      <c r="E723" t="inlineStr">
        <is>
          <t>MOTALA</t>
        </is>
      </c>
      <c r="G723" t="n">
        <v>0.6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2222-2019</t>
        </is>
      </c>
      <c r="B724" s="1" t="n">
        <v>43475</v>
      </c>
      <c r="C724" s="1" t="n">
        <v>45211</v>
      </c>
      <c r="D724" t="inlineStr">
        <is>
          <t>ÖSTERGÖTLANDS LÄN</t>
        </is>
      </c>
      <c r="E724" t="inlineStr">
        <is>
          <t>YDRE</t>
        </is>
      </c>
      <c r="G724" t="n">
        <v>4.5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2277-2019</t>
        </is>
      </c>
      <c r="B725" s="1" t="n">
        <v>43475</v>
      </c>
      <c r="C725" s="1" t="n">
        <v>45211</v>
      </c>
      <c r="D725" t="inlineStr">
        <is>
          <t>ÖSTERGÖTLANDS LÄN</t>
        </is>
      </c>
      <c r="E725" t="inlineStr">
        <is>
          <t>ÅTVIDABERG</t>
        </is>
      </c>
      <c r="G725" t="n">
        <v>1.7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3645-2019</t>
        </is>
      </c>
      <c r="B726" s="1" t="n">
        <v>43475</v>
      </c>
      <c r="C726" s="1" t="n">
        <v>45211</v>
      </c>
      <c r="D726" t="inlineStr">
        <is>
          <t>ÖSTERGÖTLANDS LÄN</t>
        </is>
      </c>
      <c r="E726" t="inlineStr">
        <is>
          <t>FINSPÅNG</t>
        </is>
      </c>
      <c r="G726" t="n">
        <v>1.8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3844-2019</t>
        </is>
      </c>
      <c r="B727" s="1" t="n">
        <v>43475</v>
      </c>
      <c r="C727" s="1" t="n">
        <v>45211</v>
      </c>
      <c r="D727" t="inlineStr">
        <is>
          <t>ÖSTERGÖTLANDS LÄN</t>
        </is>
      </c>
      <c r="E727" t="inlineStr">
        <is>
          <t>KINDA</t>
        </is>
      </c>
      <c r="G727" t="n">
        <v>2.4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4271-2019</t>
        </is>
      </c>
      <c r="B728" s="1" t="n">
        <v>43476</v>
      </c>
      <c r="C728" s="1" t="n">
        <v>45211</v>
      </c>
      <c r="D728" t="inlineStr">
        <is>
          <t>ÖSTERGÖTLANDS LÄN</t>
        </is>
      </c>
      <c r="E728" t="inlineStr">
        <is>
          <t>NORRKÖPING</t>
        </is>
      </c>
      <c r="F728" t="inlineStr">
        <is>
          <t>Allmännings- och besparingsskogar</t>
        </is>
      </c>
      <c r="G728" t="n">
        <v>7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4868-2019</t>
        </is>
      </c>
      <c r="B729" s="1" t="n">
        <v>43479</v>
      </c>
      <c r="C729" s="1" t="n">
        <v>45211</v>
      </c>
      <c r="D729" t="inlineStr">
        <is>
          <t>ÖSTERGÖTLANDS LÄN</t>
        </is>
      </c>
      <c r="E729" t="inlineStr">
        <is>
          <t>YDRE</t>
        </is>
      </c>
      <c r="G729" t="n">
        <v>1.1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2910-2019</t>
        </is>
      </c>
      <c r="B730" s="1" t="n">
        <v>43479</v>
      </c>
      <c r="C730" s="1" t="n">
        <v>45211</v>
      </c>
      <c r="D730" t="inlineStr">
        <is>
          <t>ÖSTERGÖTLANDS LÄN</t>
        </is>
      </c>
      <c r="E730" t="inlineStr">
        <is>
          <t>LINKÖPING</t>
        </is>
      </c>
      <c r="G730" t="n">
        <v>4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2786-2019</t>
        </is>
      </c>
      <c r="B731" s="1" t="n">
        <v>43479</v>
      </c>
      <c r="C731" s="1" t="n">
        <v>45211</v>
      </c>
      <c r="D731" t="inlineStr">
        <is>
          <t>ÖSTERGÖTLANDS LÄN</t>
        </is>
      </c>
      <c r="E731" t="inlineStr">
        <is>
          <t>FINSPÅNG</t>
        </is>
      </c>
      <c r="G731" t="n">
        <v>1.8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2848-2019</t>
        </is>
      </c>
      <c r="B732" s="1" t="n">
        <v>43479</v>
      </c>
      <c r="C732" s="1" t="n">
        <v>45211</v>
      </c>
      <c r="D732" t="inlineStr">
        <is>
          <t>ÖSTERGÖTLANDS LÄN</t>
        </is>
      </c>
      <c r="E732" t="inlineStr">
        <is>
          <t>ÅTVIDABERG</t>
        </is>
      </c>
      <c r="G732" t="n">
        <v>1.6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2919-2019</t>
        </is>
      </c>
      <c r="B733" s="1" t="n">
        <v>43479</v>
      </c>
      <c r="C733" s="1" t="n">
        <v>45211</v>
      </c>
      <c r="D733" t="inlineStr">
        <is>
          <t>ÖSTERGÖTLANDS LÄN</t>
        </is>
      </c>
      <c r="E733" t="inlineStr">
        <is>
          <t>FINSPÅNG</t>
        </is>
      </c>
      <c r="G733" t="n">
        <v>2.1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4870-2019</t>
        </is>
      </c>
      <c r="B734" s="1" t="n">
        <v>43479</v>
      </c>
      <c r="C734" s="1" t="n">
        <v>45211</v>
      </c>
      <c r="D734" t="inlineStr">
        <is>
          <t>ÖSTERGÖTLANDS LÄN</t>
        </is>
      </c>
      <c r="E734" t="inlineStr">
        <is>
          <t>YDRE</t>
        </is>
      </c>
      <c r="G734" t="n">
        <v>1.6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2815-2019</t>
        </is>
      </c>
      <c r="B735" s="1" t="n">
        <v>43479</v>
      </c>
      <c r="C735" s="1" t="n">
        <v>45211</v>
      </c>
      <c r="D735" t="inlineStr">
        <is>
          <t>ÖSTERGÖTLANDS LÄN</t>
        </is>
      </c>
      <c r="E735" t="inlineStr">
        <is>
          <t>MOTALA</t>
        </is>
      </c>
      <c r="G735" t="n">
        <v>4.5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4942-2019</t>
        </is>
      </c>
      <c r="B736" s="1" t="n">
        <v>43480</v>
      </c>
      <c r="C736" s="1" t="n">
        <v>45211</v>
      </c>
      <c r="D736" t="inlineStr">
        <is>
          <t>ÖSTERGÖTLANDS LÄN</t>
        </is>
      </c>
      <c r="E736" t="inlineStr">
        <is>
          <t>LINKÖPING</t>
        </is>
      </c>
      <c r="G736" t="n">
        <v>3.3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3260-2019</t>
        </is>
      </c>
      <c r="B737" s="1" t="n">
        <v>43480</v>
      </c>
      <c r="C737" s="1" t="n">
        <v>45211</v>
      </c>
      <c r="D737" t="inlineStr">
        <is>
          <t>ÖSTERGÖTLANDS LÄN</t>
        </is>
      </c>
      <c r="E737" t="inlineStr">
        <is>
          <t>YDRE</t>
        </is>
      </c>
      <c r="F737" t="inlineStr">
        <is>
          <t>Sveaskog</t>
        </is>
      </c>
      <c r="G737" t="n">
        <v>6.8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5158-2019</t>
        </is>
      </c>
      <c r="B738" s="1" t="n">
        <v>43480</v>
      </c>
      <c r="C738" s="1" t="n">
        <v>45211</v>
      </c>
      <c r="D738" t="inlineStr">
        <is>
          <t>ÖSTERGÖTLANDS LÄN</t>
        </is>
      </c>
      <c r="E738" t="inlineStr">
        <is>
          <t>ÖDESHÖG</t>
        </is>
      </c>
      <c r="G738" t="n">
        <v>6.9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4932-2019</t>
        </is>
      </c>
      <c r="B739" s="1" t="n">
        <v>43480</v>
      </c>
      <c r="C739" s="1" t="n">
        <v>45211</v>
      </c>
      <c r="D739" t="inlineStr">
        <is>
          <t>ÖSTERGÖTLANDS LÄN</t>
        </is>
      </c>
      <c r="E739" t="inlineStr">
        <is>
          <t>LINKÖPING</t>
        </is>
      </c>
      <c r="G739" t="n">
        <v>2.2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4979-2019</t>
        </is>
      </c>
      <c r="B740" s="1" t="n">
        <v>43480</v>
      </c>
      <c r="C740" s="1" t="n">
        <v>45211</v>
      </c>
      <c r="D740" t="inlineStr">
        <is>
          <t>ÖSTERGÖTLANDS LÄN</t>
        </is>
      </c>
      <c r="E740" t="inlineStr">
        <is>
          <t>LINKÖPING</t>
        </is>
      </c>
      <c r="G740" t="n">
        <v>0.5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3484-2019</t>
        </is>
      </c>
      <c r="B741" s="1" t="n">
        <v>43481</v>
      </c>
      <c r="C741" s="1" t="n">
        <v>45211</v>
      </c>
      <c r="D741" t="inlineStr">
        <is>
          <t>ÖSTERGÖTLANDS LÄN</t>
        </is>
      </c>
      <c r="E741" t="inlineStr">
        <is>
          <t>KINDA</t>
        </is>
      </c>
      <c r="G741" t="n">
        <v>0.9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5313-2019</t>
        </is>
      </c>
      <c r="B742" s="1" t="n">
        <v>43481</v>
      </c>
      <c r="C742" s="1" t="n">
        <v>45211</v>
      </c>
      <c r="D742" t="inlineStr">
        <is>
          <t>ÖSTERGÖTLANDS LÄN</t>
        </is>
      </c>
      <c r="E742" t="inlineStr">
        <is>
          <t>ÖDESHÖG</t>
        </is>
      </c>
      <c r="G742" t="n">
        <v>2.4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5358-2019</t>
        </is>
      </c>
      <c r="B743" s="1" t="n">
        <v>43481</v>
      </c>
      <c r="C743" s="1" t="n">
        <v>45211</v>
      </c>
      <c r="D743" t="inlineStr">
        <is>
          <t>ÖSTERGÖTLANDS LÄN</t>
        </is>
      </c>
      <c r="E743" t="inlineStr">
        <is>
          <t>NORRKÖPING</t>
        </is>
      </c>
      <c r="G743" t="n">
        <v>11.1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3452-2019</t>
        </is>
      </c>
      <c r="B744" s="1" t="n">
        <v>43481</v>
      </c>
      <c r="C744" s="1" t="n">
        <v>45211</v>
      </c>
      <c r="D744" t="inlineStr">
        <is>
          <t>ÖSTERGÖTLANDS LÄN</t>
        </is>
      </c>
      <c r="E744" t="inlineStr">
        <is>
          <t>KINDA</t>
        </is>
      </c>
      <c r="G744" t="n">
        <v>1.6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3666-2019</t>
        </is>
      </c>
      <c r="B745" s="1" t="n">
        <v>43481</v>
      </c>
      <c r="C745" s="1" t="n">
        <v>45211</v>
      </c>
      <c r="D745" t="inlineStr">
        <is>
          <t>ÖSTERGÖTLANDS LÄN</t>
        </is>
      </c>
      <c r="E745" t="inlineStr">
        <is>
          <t>FINSPÅNG</t>
        </is>
      </c>
      <c r="F745" t="inlineStr">
        <is>
          <t>Holmen skog AB</t>
        </is>
      </c>
      <c r="G745" t="n">
        <v>1.3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5532-2019</t>
        </is>
      </c>
      <c r="B746" s="1" t="n">
        <v>43481</v>
      </c>
      <c r="C746" s="1" t="n">
        <v>45211</v>
      </c>
      <c r="D746" t="inlineStr">
        <is>
          <t>ÖSTERGÖTLANDS LÄN</t>
        </is>
      </c>
      <c r="E746" t="inlineStr">
        <is>
          <t>NORRKÖPING</t>
        </is>
      </c>
      <c r="G746" t="n">
        <v>3.9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4108-2019</t>
        </is>
      </c>
      <c r="B747" s="1" t="n">
        <v>43482</v>
      </c>
      <c r="C747" s="1" t="n">
        <v>45211</v>
      </c>
      <c r="D747" t="inlineStr">
        <is>
          <t>ÖSTERGÖTLANDS LÄN</t>
        </is>
      </c>
      <c r="E747" t="inlineStr">
        <is>
          <t>FINSPÅNG</t>
        </is>
      </c>
      <c r="F747" t="inlineStr">
        <is>
          <t>Kommuner</t>
        </is>
      </c>
      <c r="G747" t="n">
        <v>2.4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5539-2019</t>
        </is>
      </c>
      <c r="B748" s="1" t="n">
        <v>43482</v>
      </c>
      <c r="C748" s="1" t="n">
        <v>45211</v>
      </c>
      <c r="D748" t="inlineStr">
        <is>
          <t>ÖSTERGÖTLANDS LÄN</t>
        </is>
      </c>
      <c r="E748" t="inlineStr">
        <is>
          <t>FINSPÅNG</t>
        </is>
      </c>
      <c r="G748" t="n">
        <v>2.5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3813-2019</t>
        </is>
      </c>
      <c r="B749" s="1" t="n">
        <v>43482</v>
      </c>
      <c r="C749" s="1" t="n">
        <v>45211</v>
      </c>
      <c r="D749" t="inlineStr">
        <is>
          <t>ÖSTERGÖTLANDS LÄN</t>
        </is>
      </c>
      <c r="E749" t="inlineStr">
        <is>
          <t>KINDA</t>
        </is>
      </c>
      <c r="G749" t="n">
        <v>5.7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5535-2019</t>
        </is>
      </c>
      <c r="B750" s="1" t="n">
        <v>43482</v>
      </c>
      <c r="C750" s="1" t="n">
        <v>45211</v>
      </c>
      <c r="D750" t="inlineStr">
        <is>
          <t>ÖSTERGÖTLANDS LÄN</t>
        </is>
      </c>
      <c r="E750" t="inlineStr">
        <is>
          <t>FINSPÅNG</t>
        </is>
      </c>
      <c r="G750" t="n">
        <v>6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5667-2019</t>
        </is>
      </c>
      <c r="B751" s="1" t="n">
        <v>43482</v>
      </c>
      <c r="C751" s="1" t="n">
        <v>45211</v>
      </c>
      <c r="D751" t="inlineStr">
        <is>
          <t>ÖSTERGÖTLANDS LÄN</t>
        </is>
      </c>
      <c r="E751" t="inlineStr">
        <is>
          <t>NORRKÖPING</t>
        </is>
      </c>
      <c r="F751" t="inlineStr">
        <is>
          <t>Allmännings- och besparingsskogar</t>
        </is>
      </c>
      <c r="G751" t="n">
        <v>1.4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4105-2019</t>
        </is>
      </c>
      <c r="B752" s="1" t="n">
        <v>43482</v>
      </c>
      <c r="C752" s="1" t="n">
        <v>45211</v>
      </c>
      <c r="D752" t="inlineStr">
        <is>
          <t>ÖSTERGÖTLANDS LÄN</t>
        </is>
      </c>
      <c r="E752" t="inlineStr">
        <is>
          <t>FINSPÅNG</t>
        </is>
      </c>
      <c r="G752" t="n">
        <v>0.6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4111-2019</t>
        </is>
      </c>
      <c r="B753" s="1" t="n">
        <v>43482</v>
      </c>
      <c r="C753" s="1" t="n">
        <v>45211</v>
      </c>
      <c r="D753" t="inlineStr">
        <is>
          <t>ÖSTERGÖTLANDS LÄN</t>
        </is>
      </c>
      <c r="E753" t="inlineStr">
        <is>
          <t>FINSPÅNG</t>
        </is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4086-2019</t>
        </is>
      </c>
      <c r="B754" s="1" t="n">
        <v>43482</v>
      </c>
      <c r="C754" s="1" t="n">
        <v>45211</v>
      </c>
      <c r="D754" t="inlineStr">
        <is>
          <t>ÖSTERGÖTLANDS LÄN</t>
        </is>
      </c>
      <c r="E754" t="inlineStr">
        <is>
          <t>ÖDESHÖG</t>
        </is>
      </c>
      <c r="G754" t="n">
        <v>0.5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4106-2019</t>
        </is>
      </c>
      <c r="B755" s="1" t="n">
        <v>43482</v>
      </c>
      <c r="C755" s="1" t="n">
        <v>45211</v>
      </c>
      <c r="D755" t="inlineStr">
        <is>
          <t>ÖSTERGÖTLANDS LÄN</t>
        </is>
      </c>
      <c r="E755" t="inlineStr">
        <is>
          <t>LINKÖPING</t>
        </is>
      </c>
      <c r="G755" t="n">
        <v>3.1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4253-2019</t>
        </is>
      </c>
      <c r="B756" s="1" t="n">
        <v>43483</v>
      </c>
      <c r="C756" s="1" t="n">
        <v>45211</v>
      </c>
      <c r="D756" t="inlineStr">
        <is>
          <t>ÖSTERGÖTLANDS LÄN</t>
        </is>
      </c>
      <c r="E756" t="inlineStr">
        <is>
          <t>LINKÖPING</t>
        </is>
      </c>
      <c r="G756" t="n">
        <v>1.1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5995-2019</t>
        </is>
      </c>
      <c r="B757" s="1" t="n">
        <v>43483</v>
      </c>
      <c r="C757" s="1" t="n">
        <v>45211</v>
      </c>
      <c r="D757" t="inlineStr">
        <is>
          <t>ÖSTERGÖTLANDS LÄN</t>
        </is>
      </c>
      <c r="E757" t="inlineStr">
        <is>
          <t>NORRKÖPING</t>
        </is>
      </c>
      <c r="F757" t="inlineStr">
        <is>
          <t>Allmännings- och besparingsskogar</t>
        </is>
      </c>
      <c r="G757" t="n">
        <v>6.8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4388-2019</t>
        </is>
      </c>
      <c r="B758" s="1" t="n">
        <v>43484</v>
      </c>
      <c r="C758" s="1" t="n">
        <v>45211</v>
      </c>
      <c r="D758" t="inlineStr">
        <is>
          <t>ÖSTERGÖTLANDS LÄN</t>
        </is>
      </c>
      <c r="E758" t="inlineStr">
        <is>
          <t>LINKÖPING</t>
        </is>
      </c>
      <c r="G758" t="n">
        <v>0.1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4650-2019</t>
        </is>
      </c>
      <c r="B759" s="1" t="n">
        <v>43486</v>
      </c>
      <c r="C759" s="1" t="n">
        <v>45211</v>
      </c>
      <c r="D759" t="inlineStr">
        <is>
          <t>ÖSTERGÖTLANDS LÄN</t>
        </is>
      </c>
      <c r="E759" t="inlineStr">
        <is>
          <t>YDRE</t>
        </is>
      </c>
      <c r="G759" t="n">
        <v>1.9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4606-2019</t>
        </is>
      </c>
      <c r="B760" s="1" t="n">
        <v>43486</v>
      </c>
      <c r="C760" s="1" t="n">
        <v>45211</v>
      </c>
      <c r="D760" t="inlineStr">
        <is>
          <t>ÖSTERGÖTLANDS LÄN</t>
        </is>
      </c>
      <c r="E760" t="inlineStr">
        <is>
          <t>ÅTVIDABERG</t>
        </is>
      </c>
      <c r="G760" t="n">
        <v>3.9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4763-2019</t>
        </is>
      </c>
      <c r="B761" s="1" t="n">
        <v>43486</v>
      </c>
      <c r="C761" s="1" t="n">
        <v>45211</v>
      </c>
      <c r="D761" t="inlineStr">
        <is>
          <t>ÖSTERGÖTLANDS LÄN</t>
        </is>
      </c>
      <c r="E761" t="inlineStr">
        <is>
          <t>SÖDERKÖPING</t>
        </is>
      </c>
      <c r="G761" t="n">
        <v>4.9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4592-2019</t>
        </is>
      </c>
      <c r="B762" s="1" t="n">
        <v>43486</v>
      </c>
      <c r="C762" s="1" t="n">
        <v>45211</v>
      </c>
      <c r="D762" t="inlineStr">
        <is>
          <t>ÖSTERGÖTLANDS LÄN</t>
        </is>
      </c>
      <c r="E762" t="inlineStr">
        <is>
          <t>ÅTVIDABERG</t>
        </is>
      </c>
      <c r="G762" t="n">
        <v>0.9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4968-2019</t>
        </is>
      </c>
      <c r="B763" s="1" t="n">
        <v>43487</v>
      </c>
      <c r="C763" s="1" t="n">
        <v>45211</v>
      </c>
      <c r="D763" t="inlineStr">
        <is>
          <t>ÖSTERGÖTLANDS LÄN</t>
        </is>
      </c>
      <c r="E763" t="inlineStr">
        <is>
          <t>YDRE</t>
        </is>
      </c>
      <c r="F763" t="inlineStr">
        <is>
          <t>Sveaskog</t>
        </is>
      </c>
      <c r="G763" t="n">
        <v>0.6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5056-2019</t>
        </is>
      </c>
      <c r="B764" s="1" t="n">
        <v>43487</v>
      </c>
      <c r="C764" s="1" t="n">
        <v>45211</v>
      </c>
      <c r="D764" t="inlineStr">
        <is>
          <t>ÖSTERGÖTLANDS LÄN</t>
        </is>
      </c>
      <c r="E764" t="inlineStr">
        <is>
          <t>LINKÖPING</t>
        </is>
      </c>
      <c r="G764" t="n">
        <v>12.4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4963-2019</t>
        </is>
      </c>
      <c r="B765" s="1" t="n">
        <v>43487</v>
      </c>
      <c r="C765" s="1" t="n">
        <v>45211</v>
      </c>
      <c r="D765" t="inlineStr">
        <is>
          <t>ÖSTERGÖTLANDS LÄN</t>
        </is>
      </c>
      <c r="E765" t="inlineStr">
        <is>
          <t>KINDA</t>
        </is>
      </c>
      <c r="G765" t="n">
        <v>6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5105-2019</t>
        </is>
      </c>
      <c r="B766" s="1" t="n">
        <v>43487</v>
      </c>
      <c r="C766" s="1" t="n">
        <v>45211</v>
      </c>
      <c r="D766" t="inlineStr">
        <is>
          <t>ÖSTERGÖTLANDS LÄN</t>
        </is>
      </c>
      <c r="E766" t="inlineStr">
        <is>
          <t>KINDA</t>
        </is>
      </c>
      <c r="G766" t="n">
        <v>0.9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5110-2019</t>
        </is>
      </c>
      <c r="B767" s="1" t="n">
        <v>43487</v>
      </c>
      <c r="C767" s="1" t="n">
        <v>45211</v>
      </c>
      <c r="D767" t="inlineStr">
        <is>
          <t>ÖSTERGÖTLANDS LÄN</t>
        </is>
      </c>
      <c r="E767" t="inlineStr">
        <is>
          <t>KINDA</t>
        </is>
      </c>
      <c r="G767" t="n">
        <v>0.5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5725-2019</t>
        </is>
      </c>
      <c r="B768" s="1" t="n">
        <v>43488</v>
      </c>
      <c r="C768" s="1" t="n">
        <v>45211</v>
      </c>
      <c r="D768" t="inlineStr">
        <is>
          <t>ÖSTERGÖTLANDS LÄN</t>
        </is>
      </c>
      <c r="E768" t="inlineStr">
        <is>
          <t>MOTALA</t>
        </is>
      </c>
      <c r="G768" t="n">
        <v>0.5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5205-2019</t>
        </is>
      </c>
      <c r="B769" s="1" t="n">
        <v>43488</v>
      </c>
      <c r="C769" s="1" t="n">
        <v>45211</v>
      </c>
      <c r="D769" t="inlineStr">
        <is>
          <t>ÖSTERGÖTLANDS LÄN</t>
        </is>
      </c>
      <c r="E769" t="inlineStr">
        <is>
          <t>KINDA</t>
        </is>
      </c>
      <c r="G769" t="n">
        <v>0.7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5339-2019</t>
        </is>
      </c>
      <c r="B770" s="1" t="n">
        <v>43488</v>
      </c>
      <c r="C770" s="1" t="n">
        <v>45211</v>
      </c>
      <c r="D770" t="inlineStr">
        <is>
          <t>ÖSTERGÖTLANDS LÄN</t>
        </is>
      </c>
      <c r="E770" t="inlineStr">
        <is>
          <t>FINSPÅNG</t>
        </is>
      </c>
      <c r="G770" t="n">
        <v>0.9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5352-2019</t>
        </is>
      </c>
      <c r="B771" s="1" t="n">
        <v>43488</v>
      </c>
      <c r="C771" s="1" t="n">
        <v>45211</v>
      </c>
      <c r="D771" t="inlineStr">
        <is>
          <t>ÖSTERGÖTLANDS LÄN</t>
        </is>
      </c>
      <c r="E771" t="inlineStr">
        <is>
          <t>ÅTVIDABERG</t>
        </is>
      </c>
      <c r="G771" t="n">
        <v>3.4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5461-2019</t>
        </is>
      </c>
      <c r="B772" s="1" t="n">
        <v>43489</v>
      </c>
      <c r="C772" s="1" t="n">
        <v>45211</v>
      </c>
      <c r="D772" t="inlineStr">
        <is>
          <t>ÖSTERGÖTLANDS LÄN</t>
        </is>
      </c>
      <c r="E772" t="inlineStr">
        <is>
          <t>MOTALA</t>
        </is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5424-2019</t>
        </is>
      </c>
      <c r="B773" s="1" t="n">
        <v>43489</v>
      </c>
      <c r="C773" s="1" t="n">
        <v>45211</v>
      </c>
      <c r="D773" t="inlineStr">
        <is>
          <t>ÖSTERGÖTLANDS LÄN</t>
        </is>
      </c>
      <c r="E773" t="inlineStr">
        <is>
          <t>MJÖLBY</t>
        </is>
      </c>
      <c r="G773" t="n">
        <v>5.7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7155-2019</t>
        </is>
      </c>
      <c r="B774" s="1" t="n">
        <v>43489</v>
      </c>
      <c r="C774" s="1" t="n">
        <v>45211</v>
      </c>
      <c r="D774" t="inlineStr">
        <is>
          <t>ÖSTERGÖTLANDS LÄN</t>
        </is>
      </c>
      <c r="E774" t="inlineStr">
        <is>
          <t>YDRE</t>
        </is>
      </c>
      <c r="G774" t="n">
        <v>2.5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7114-2019</t>
        </is>
      </c>
      <c r="B775" s="1" t="n">
        <v>43489</v>
      </c>
      <c r="C775" s="1" t="n">
        <v>45211</v>
      </c>
      <c r="D775" t="inlineStr">
        <is>
          <t>ÖSTERGÖTLANDS LÄN</t>
        </is>
      </c>
      <c r="E775" t="inlineStr">
        <is>
          <t>KINDA</t>
        </is>
      </c>
      <c r="G775" t="n">
        <v>6.7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5890-2019</t>
        </is>
      </c>
      <c r="B776" s="1" t="n">
        <v>43490</v>
      </c>
      <c r="C776" s="1" t="n">
        <v>45211</v>
      </c>
      <c r="D776" t="inlineStr">
        <is>
          <t>ÖSTERGÖTLANDS LÄN</t>
        </is>
      </c>
      <c r="E776" t="inlineStr">
        <is>
          <t>LINKÖPING</t>
        </is>
      </c>
      <c r="F776" t="inlineStr">
        <is>
          <t>Övriga Aktiebolag</t>
        </is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5879-2019</t>
        </is>
      </c>
      <c r="B777" s="1" t="n">
        <v>43490</v>
      </c>
      <c r="C777" s="1" t="n">
        <v>45211</v>
      </c>
      <c r="D777" t="inlineStr">
        <is>
          <t>ÖSTERGÖTLANDS LÄN</t>
        </is>
      </c>
      <c r="E777" t="inlineStr">
        <is>
          <t>ÅTVIDABERG</t>
        </is>
      </c>
      <c r="G777" t="n">
        <v>2.8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7270-2019</t>
        </is>
      </c>
      <c r="B778" s="1" t="n">
        <v>43490</v>
      </c>
      <c r="C778" s="1" t="n">
        <v>45211</v>
      </c>
      <c r="D778" t="inlineStr">
        <is>
          <t>ÖSTERGÖTLANDS LÄN</t>
        </is>
      </c>
      <c r="E778" t="inlineStr">
        <is>
          <t>LINKÖPING</t>
        </is>
      </c>
      <c r="G778" t="n">
        <v>1.7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5817-2019</t>
        </is>
      </c>
      <c r="B779" s="1" t="n">
        <v>43490</v>
      </c>
      <c r="C779" s="1" t="n">
        <v>45211</v>
      </c>
      <c r="D779" t="inlineStr">
        <is>
          <t>ÖSTERGÖTLANDS LÄN</t>
        </is>
      </c>
      <c r="E779" t="inlineStr">
        <is>
          <t>BOXHOLM</t>
        </is>
      </c>
      <c r="F779" t="inlineStr">
        <is>
          <t>Övriga Aktiebolag</t>
        </is>
      </c>
      <c r="G779" t="n">
        <v>2.8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6389-2019</t>
        </is>
      </c>
      <c r="B780" s="1" t="n">
        <v>43493</v>
      </c>
      <c r="C780" s="1" t="n">
        <v>45211</v>
      </c>
      <c r="D780" t="inlineStr">
        <is>
          <t>ÖSTERGÖTLANDS LÄN</t>
        </is>
      </c>
      <c r="E780" t="inlineStr">
        <is>
          <t>FINSPÅNG</t>
        </is>
      </c>
      <c r="G780" t="n">
        <v>7.6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6378-2019</t>
        </is>
      </c>
      <c r="B781" s="1" t="n">
        <v>43493</v>
      </c>
      <c r="C781" s="1" t="n">
        <v>45211</v>
      </c>
      <c r="D781" t="inlineStr">
        <is>
          <t>ÖSTERGÖTLANDS LÄN</t>
        </is>
      </c>
      <c r="E781" t="inlineStr">
        <is>
          <t>FINSPÅNG</t>
        </is>
      </c>
      <c r="G781" t="n">
        <v>1.9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6063-2019</t>
        </is>
      </c>
      <c r="B782" s="1" t="n">
        <v>43493</v>
      </c>
      <c r="C782" s="1" t="n">
        <v>45211</v>
      </c>
      <c r="D782" t="inlineStr">
        <is>
          <t>ÖSTERGÖTLANDS LÄN</t>
        </is>
      </c>
      <c r="E782" t="inlineStr">
        <is>
          <t>LINKÖPING</t>
        </is>
      </c>
      <c r="F782" t="inlineStr">
        <is>
          <t>Övriga Aktiebolag</t>
        </is>
      </c>
      <c r="G782" t="n">
        <v>0.7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6391-2019</t>
        </is>
      </c>
      <c r="B783" s="1" t="n">
        <v>43493</v>
      </c>
      <c r="C783" s="1" t="n">
        <v>45211</v>
      </c>
      <c r="D783" t="inlineStr">
        <is>
          <t>ÖSTERGÖTLANDS LÄN</t>
        </is>
      </c>
      <c r="E783" t="inlineStr">
        <is>
          <t>FINSPÅNG</t>
        </is>
      </c>
      <c r="G783" t="n">
        <v>0.5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7465-2019</t>
        </is>
      </c>
      <c r="B784" s="1" t="n">
        <v>43493</v>
      </c>
      <c r="C784" s="1" t="n">
        <v>45211</v>
      </c>
      <c r="D784" t="inlineStr">
        <is>
          <t>ÖSTERGÖTLANDS LÄN</t>
        </is>
      </c>
      <c r="E784" t="inlineStr">
        <is>
          <t>KINDA</t>
        </is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6546-2019</t>
        </is>
      </c>
      <c r="B785" s="1" t="n">
        <v>43494</v>
      </c>
      <c r="C785" s="1" t="n">
        <v>45211</v>
      </c>
      <c r="D785" t="inlineStr">
        <is>
          <t>ÖSTERGÖTLANDS LÄN</t>
        </is>
      </c>
      <c r="E785" t="inlineStr">
        <is>
          <t>LINKÖPING</t>
        </is>
      </c>
      <c r="G785" t="n">
        <v>5.6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6561-2019</t>
        </is>
      </c>
      <c r="B786" s="1" t="n">
        <v>43494</v>
      </c>
      <c r="C786" s="1" t="n">
        <v>45211</v>
      </c>
      <c r="D786" t="inlineStr">
        <is>
          <t>ÖSTERGÖTLANDS LÄN</t>
        </is>
      </c>
      <c r="E786" t="inlineStr">
        <is>
          <t>LINKÖPING</t>
        </is>
      </c>
      <c r="G786" t="n">
        <v>3.7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6604-2019</t>
        </is>
      </c>
      <c r="B787" s="1" t="n">
        <v>43494</v>
      </c>
      <c r="C787" s="1" t="n">
        <v>45211</v>
      </c>
      <c r="D787" t="inlineStr">
        <is>
          <t>ÖSTERGÖTLANDS LÄN</t>
        </is>
      </c>
      <c r="E787" t="inlineStr">
        <is>
          <t>YDRE</t>
        </is>
      </c>
      <c r="F787" t="inlineStr">
        <is>
          <t>Sveaskog</t>
        </is>
      </c>
      <c r="G787" t="n">
        <v>0.9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6399-2019</t>
        </is>
      </c>
      <c r="B788" s="1" t="n">
        <v>43494</v>
      </c>
      <c r="C788" s="1" t="n">
        <v>45211</v>
      </c>
      <c r="D788" t="inlineStr">
        <is>
          <t>ÖSTERGÖTLANDS LÄN</t>
        </is>
      </c>
      <c r="E788" t="inlineStr">
        <is>
          <t>FINSPÅNG</t>
        </is>
      </c>
      <c r="G788" t="n">
        <v>0.6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6579-2019</t>
        </is>
      </c>
      <c r="B789" s="1" t="n">
        <v>43494</v>
      </c>
      <c r="C789" s="1" t="n">
        <v>45211</v>
      </c>
      <c r="D789" t="inlineStr">
        <is>
          <t>ÖSTERGÖTLANDS LÄN</t>
        </is>
      </c>
      <c r="E789" t="inlineStr">
        <is>
          <t>KINDA</t>
        </is>
      </c>
      <c r="G789" t="n">
        <v>1.5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6714-2019</t>
        </is>
      </c>
      <c r="B790" s="1" t="n">
        <v>43494</v>
      </c>
      <c r="C790" s="1" t="n">
        <v>45211</v>
      </c>
      <c r="D790" t="inlineStr">
        <is>
          <t>ÖSTERGÖTLANDS LÄN</t>
        </is>
      </c>
      <c r="E790" t="inlineStr">
        <is>
          <t>ÅTVIDABERG</t>
        </is>
      </c>
      <c r="G790" t="n">
        <v>1.7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6593-2019</t>
        </is>
      </c>
      <c r="B791" s="1" t="n">
        <v>43494</v>
      </c>
      <c r="C791" s="1" t="n">
        <v>45211</v>
      </c>
      <c r="D791" t="inlineStr">
        <is>
          <t>ÖSTERGÖTLANDS LÄN</t>
        </is>
      </c>
      <c r="E791" t="inlineStr">
        <is>
          <t>YDRE</t>
        </is>
      </c>
      <c r="F791" t="inlineStr">
        <is>
          <t>Sveaskog</t>
        </is>
      </c>
      <c r="G791" t="n">
        <v>3.2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6395-2019</t>
        </is>
      </c>
      <c r="B792" s="1" t="n">
        <v>43494</v>
      </c>
      <c r="C792" s="1" t="n">
        <v>45211</v>
      </c>
      <c r="D792" t="inlineStr">
        <is>
          <t>ÖSTERGÖTLANDS LÄN</t>
        </is>
      </c>
      <c r="E792" t="inlineStr">
        <is>
          <t>FINSPÅNG</t>
        </is>
      </c>
      <c r="G792" t="n">
        <v>7.1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6595-2019</t>
        </is>
      </c>
      <c r="B793" s="1" t="n">
        <v>43494</v>
      </c>
      <c r="C793" s="1" t="n">
        <v>45211</v>
      </c>
      <c r="D793" t="inlineStr">
        <is>
          <t>ÖSTERGÖTLANDS LÄN</t>
        </is>
      </c>
      <c r="E793" t="inlineStr">
        <is>
          <t>LINKÖPING</t>
        </is>
      </c>
      <c r="G793" t="n">
        <v>5.6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6741-2019</t>
        </is>
      </c>
      <c r="B794" s="1" t="n">
        <v>43494</v>
      </c>
      <c r="C794" s="1" t="n">
        <v>45211</v>
      </c>
      <c r="D794" t="inlineStr">
        <is>
          <t>ÖSTERGÖTLANDS LÄN</t>
        </is>
      </c>
      <c r="E794" t="inlineStr">
        <is>
          <t>MJÖLBY</t>
        </is>
      </c>
      <c r="G794" t="n">
        <v>3.9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7024-2019</t>
        </is>
      </c>
      <c r="B795" s="1" t="n">
        <v>43495</v>
      </c>
      <c r="C795" s="1" t="n">
        <v>45211</v>
      </c>
      <c r="D795" t="inlineStr">
        <is>
          <t>ÖSTERGÖTLANDS LÄN</t>
        </is>
      </c>
      <c r="E795" t="inlineStr">
        <is>
          <t>YDRE</t>
        </is>
      </c>
      <c r="G795" t="n">
        <v>3.9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7180-2019</t>
        </is>
      </c>
      <c r="B796" s="1" t="n">
        <v>43496</v>
      </c>
      <c r="C796" s="1" t="n">
        <v>45211</v>
      </c>
      <c r="D796" t="inlineStr">
        <is>
          <t>ÖSTERGÖTLANDS LÄN</t>
        </is>
      </c>
      <c r="E796" t="inlineStr">
        <is>
          <t>KINDA</t>
        </is>
      </c>
      <c r="G796" t="n">
        <v>4.1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7326-2019</t>
        </is>
      </c>
      <c r="B797" s="1" t="n">
        <v>43496</v>
      </c>
      <c r="C797" s="1" t="n">
        <v>45211</v>
      </c>
      <c r="D797" t="inlineStr">
        <is>
          <t>ÖSTERGÖTLANDS LÄN</t>
        </is>
      </c>
      <c r="E797" t="inlineStr">
        <is>
          <t>FINSPÅNG</t>
        </is>
      </c>
      <c r="F797" t="inlineStr">
        <is>
          <t>Holmen skog AB</t>
        </is>
      </c>
      <c r="G797" t="n">
        <v>0.7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7340-2019</t>
        </is>
      </c>
      <c r="B798" s="1" t="n">
        <v>43496</v>
      </c>
      <c r="C798" s="1" t="n">
        <v>45211</v>
      </c>
      <c r="D798" t="inlineStr">
        <is>
          <t>ÖSTERGÖTLANDS LÄN</t>
        </is>
      </c>
      <c r="E798" t="inlineStr">
        <is>
          <t>KINDA</t>
        </is>
      </c>
      <c r="G798" t="n">
        <v>2.9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7149-2019</t>
        </is>
      </c>
      <c r="B799" s="1" t="n">
        <v>43496</v>
      </c>
      <c r="C799" s="1" t="n">
        <v>45211</v>
      </c>
      <c r="D799" t="inlineStr">
        <is>
          <t>ÖSTERGÖTLANDS LÄN</t>
        </is>
      </c>
      <c r="E799" t="inlineStr">
        <is>
          <t>MJÖLBY</t>
        </is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7341-2019</t>
        </is>
      </c>
      <c r="B800" s="1" t="n">
        <v>43496</v>
      </c>
      <c r="C800" s="1" t="n">
        <v>45211</v>
      </c>
      <c r="D800" t="inlineStr">
        <is>
          <t>ÖSTERGÖTLANDS LÄN</t>
        </is>
      </c>
      <c r="E800" t="inlineStr">
        <is>
          <t>YDRE</t>
        </is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7183-2019</t>
        </is>
      </c>
      <c r="B801" s="1" t="n">
        <v>43496</v>
      </c>
      <c r="C801" s="1" t="n">
        <v>45211</v>
      </c>
      <c r="D801" t="inlineStr">
        <is>
          <t>ÖSTERGÖTLANDS LÄN</t>
        </is>
      </c>
      <c r="E801" t="inlineStr">
        <is>
          <t>MJÖLBY</t>
        </is>
      </c>
      <c r="G801" t="n">
        <v>0.7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7257-2019</t>
        </is>
      </c>
      <c r="B802" s="1" t="n">
        <v>43496</v>
      </c>
      <c r="C802" s="1" t="n">
        <v>45211</v>
      </c>
      <c r="D802" t="inlineStr">
        <is>
          <t>ÖSTERGÖTLANDS LÄN</t>
        </is>
      </c>
      <c r="E802" t="inlineStr">
        <is>
          <t>YDRE</t>
        </is>
      </c>
      <c r="G802" t="n">
        <v>2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7713-2019</t>
        </is>
      </c>
      <c r="B803" s="1" t="n">
        <v>43500</v>
      </c>
      <c r="C803" s="1" t="n">
        <v>45211</v>
      </c>
      <c r="D803" t="inlineStr">
        <is>
          <t>ÖSTERGÖTLANDS LÄN</t>
        </is>
      </c>
      <c r="E803" t="inlineStr">
        <is>
          <t>BOXHOLM</t>
        </is>
      </c>
      <c r="G803" t="n">
        <v>1.7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7893-2019</t>
        </is>
      </c>
      <c r="B804" s="1" t="n">
        <v>43500</v>
      </c>
      <c r="C804" s="1" t="n">
        <v>45211</v>
      </c>
      <c r="D804" t="inlineStr">
        <is>
          <t>ÖSTERGÖTLANDS LÄN</t>
        </is>
      </c>
      <c r="E804" t="inlineStr">
        <is>
          <t>VALDEMARSVIK</t>
        </is>
      </c>
      <c r="G804" t="n">
        <v>2.8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8109-2019</t>
        </is>
      </c>
      <c r="B805" s="1" t="n">
        <v>43501</v>
      </c>
      <c r="C805" s="1" t="n">
        <v>45211</v>
      </c>
      <c r="D805" t="inlineStr">
        <is>
          <t>ÖSTERGÖTLANDS LÄN</t>
        </is>
      </c>
      <c r="E805" t="inlineStr">
        <is>
          <t>VALDEMARSVIK</t>
        </is>
      </c>
      <c r="G805" t="n">
        <v>2.6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8737-2019</t>
        </is>
      </c>
      <c r="B806" s="1" t="n">
        <v>43501</v>
      </c>
      <c r="C806" s="1" t="n">
        <v>45211</v>
      </c>
      <c r="D806" t="inlineStr">
        <is>
          <t>ÖSTERGÖTLANDS LÄN</t>
        </is>
      </c>
      <c r="E806" t="inlineStr">
        <is>
          <t>KINDA</t>
        </is>
      </c>
      <c r="G806" t="n">
        <v>0.6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7940-2019</t>
        </is>
      </c>
      <c r="B807" s="1" t="n">
        <v>43501</v>
      </c>
      <c r="C807" s="1" t="n">
        <v>45211</v>
      </c>
      <c r="D807" t="inlineStr">
        <is>
          <t>ÖSTERGÖTLANDS LÄN</t>
        </is>
      </c>
      <c r="E807" t="inlineStr">
        <is>
          <t>NORRKÖPING</t>
        </is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8117-2019</t>
        </is>
      </c>
      <c r="B808" s="1" t="n">
        <v>43501</v>
      </c>
      <c r="C808" s="1" t="n">
        <v>45211</v>
      </c>
      <c r="D808" t="inlineStr">
        <is>
          <t>ÖSTERGÖTLANDS LÄN</t>
        </is>
      </c>
      <c r="E808" t="inlineStr">
        <is>
          <t>VALDEMARSVIK</t>
        </is>
      </c>
      <c r="G808" t="n">
        <v>1.5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8153-2019</t>
        </is>
      </c>
      <c r="B809" s="1" t="n">
        <v>43501</v>
      </c>
      <c r="C809" s="1" t="n">
        <v>45211</v>
      </c>
      <c r="D809" t="inlineStr">
        <is>
          <t>ÖSTERGÖTLANDS LÄN</t>
        </is>
      </c>
      <c r="E809" t="inlineStr">
        <is>
          <t>VALDEMARSVIK</t>
        </is>
      </c>
      <c r="G809" t="n">
        <v>3.5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7936-2019</t>
        </is>
      </c>
      <c r="B810" s="1" t="n">
        <v>43501</v>
      </c>
      <c r="C810" s="1" t="n">
        <v>45211</v>
      </c>
      <c r="D810" t="inlineStr">
        <is>
          <t>ÖSTERGÖTLANDS LÄN</t>
        </is>
      </c>
      <c r="E810" t="inlineStr">
        <is>
          <t>ÖDESHÖG</t>
        </is>
      </c>
      <c r="G810" t="n">
        <v>0.6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8459-2019</t>
        </is>
      </c>
      <c r="B811" s="1" t="n">
        <v>43502</v>
      </c>
      <c r="C811" s="1" t="n">
        <v>45211</v>
      </c>
      <c r="D811" t="inlineStr">
        <is>
          <t>ÖSTERGÖTLANDS LÄN</t>
        </is>
      </c>
      <c r="E811" t="inlineStr">
        <is>
          <t>NORRKÖPING</t>
        </is>
      </c>
      <c r="G811" t="n">
        <v>1.7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8331-2019</t>
        </is>
      </c>
      <c r="B812" s="1" t="n">
        <v>43502</v>
      </c>
      <c r="C812" s="1" t="n">
        <v>45211</v>
      </c>
      <c r="D812" t="inlineStr">
        <is>
          <t>ÖSTERGÖTLANDS LÄN</t>
        </is>
      </c>
      <c r="E812" t="inlineStr">
        <is>
          <t>NORRKÖPING</t>
        </is>
      </c>
      <c r="G812" t="n">
        <v>0.3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8410-2019</t>
        </is>
      </c>
      <c r="B813" s="1" t="n">
        <v>43502</v>
      </c>
      <c r="C813" s="1" t="n">
        <v>45211</v>
      </c>
      <c r="D813" t="inlineStr">
        <is>
          <t>ÖSTERGÖTLANDS LÄN</t>
        </is>
      </c>
      <c r="E813" t="inlineStr">
        <is>
          <t>YDRE</t>
        </is>
      </c>
      <c r="G813" t="n">
        <v>2.5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8805-2019</t>
        </is>
      </c>
      <c r="B814" s="1" t="n">
        <v>43503</v>
      </c>
      <c r="C814" s="1" t="n">
        <v>45211</v>
      </c>
      <c r="D814" t="inlineStr">
        <is>
          <t>ÖSTERGÖTLANDS LÄN</t>
        </is>
      </c>
      <c r="E814" t="inlineStr">
        <is>
          <t>BOXHOLM</t>
        </is>
      </c>
      <c r="G814" t="n">
        <v>1.6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8896-2019</t>
        </is>
      </c>
      <c r="B815" s="1" t="n">
        <v>43503</v>
      </c>
      <c r="C815" s="1" t="n">
        <v>45211</v>
      </c>
      <c r="D815" t="inlineStr">
        <is>
          <t>ÖSTERGÖTLANDS LÄN</t>
        </is>
      </c>
      <c r="E815" t="inlineStr">
        <is>
          <t>BOXHOLM</t>
        </is>
      </c>
      <c r="G815" t="n">
        <v>2.1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8905-2019</t>
        </is>
      </c>
      <c r="B816" s="1" t="n">
        <v>43503</v>
      </c>
      <c r="C816" s="1" t="n">
        <v>45211</v>
      </c>
      <c r="D816" t="inlineStr">
        <is>
          <t>ÖSTERGÖTLANDS LÄN</t>
        </is>
      </c>
      <c r="E816" t="inlineStr">
        <is>
          <t>YDRE</t>
        </is>
      </c>
      <c r="G816" t="n">
        <v>0.5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8749-2019</t>
        </is>
      </c>
      <c r="B817" s="1" t="n">
        <v>43503</v>
      </c>
      <c r="C817" s="1" t="n">
        <v>45211</v>
      </c>
      <c r="D817" t="inlineStr">
        <is>
          <t>ÖSTERGÖTLANDS LÄN</t>
        </is>
      </c>
      <c r="E817" t="inlineStr">
        <is>
          <t>BOXHOLM</t>
        </is>
      </c>
      <c r="G817" t="n">
        <v>1.1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8812-2019</t>
        </is>
      </c>
      <c r="B818" s="1" t="n">
        <v>43503</v>
      </c>
      <c r="C818" s="1" t="n">
        <v>45211</v>
      </c>
      <c r="D818" t="inlineStr">
        <is>
          <t>ÖSTERGÖTLANDS LÄN</t>
        </is>
      </c>
      <c r="E818" t="inlineStr">
        <is>
          <t>MJÖLBY</t>
        </is>
      </c>
      <c r="G818" t="n">
        <v>11.2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8897-2019</t>
        </is>
      </c>
      <c r="B819" s="1" t="n">
        <v>43503</v>
      </c>
      <c r="C819" s="1" t="n">
        <v>45211</v>
      </c>
      <c r="D819" t="inlineStr">
        <is>
          <t>ÖSTERGÖTLANDS LÄN</t>
        </is>
      </c>
      <c r="E819" t="inlineStr">
        <is>
          <t>MJÖLBY</t>
        </is>
      </c>
      <c r="G819" t="n">
        <v>1.7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9127-2019</t>
        </is>
      </c>
      <c r="B820" s="1" t="n">
        <v>43504</v>
      </c>
      <c r="C820" s="1" t="n">
        <v>45211</v>
      </c>
      <c r="D820" t="inlineStr">
        <is>
          <t>ÖSTERGÖTLANDS LÄN</t>
        </is>
      </c>
      <c r="E820" t="inlineStr">
        <is>
          <t>MJÖLBY</t>
        </is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9193-2019</t>
        </is>
      </c>
      <c r="B821" s="1" t="n">
        <v>43505</v>
      </c>
      <c r="C821" s="1" t="n">
        <v>45211</v>
      </c>
      <c r="D821" t="inlineStr">
        <is>
          <t>ÖSTERGÖTLANDS LÄN</t>
        </is>
      </c>
      <c r="E821" t="inlineStr">
        <is>
          <t>LINKÖPING</t>
        </is>
      </c>
      <c r="G821" t="n">
        <v>1.5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9192-2019</t>
        </is>
      </c>
      <c r="B822" s="1" t="n">
        <v>43505</v>
      </c>
      <c r="C822" s="1" t="n">
        <v>45211</v>
      </c>
      <c r="D822" t="inlineStr">
        <is>
          <t>ÖSTERGÖTLANDS LÄN</t>
        </is>
      </c>
      <c r="E822" t="inlineStr">
        <is>
          <t>LINKÖPING</t>
        </is>
      </c>
      <c r="G822" t="n">
        <v>1.1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 ht="15" customHeight="1">
      <c r="A823" t="inlineStr">
        <is>
          <t>A 9206-2019</t>
        </is>
      </c>
      <c r="B823" s="1" t="n">
        <v>43506</v>
      </c>
      <c r="C823" s="1" t="n">
        <v>45211</v>
      </c>
      <c r="D823" t="inlineStr">
        <is>
          <t>ÖSTERGÖTLANDS LÄN</t>
        </is>
      </c>
      <c r="E823" t="inlineStr">
        <is>
          <t>ÅTVIDABERG</t>
        </is>
      </c>
      <c r="G823" t="n">
        <v>2.9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  <row r="824" ht="15" customHeight="1">
      <c r="A824" t="inlineStr">
        <is>
          <t>A 9220-2019</t>
        </is>
      </c>
      <c r="B824" s="1" t="n">
        <v>43506</v>
      </c>
      <c r="C824" s="1" t="n">
        <v>45211</v>
      </c>
      <c r="D824" t="inlineStr">
        <is>
          <t>ÖSTERGÖTLANDS LÄN</t>
        </is>
      </c>
      <c r="E824" t="inlineStr">
        <is>
          <t>KINDA</t>
        </is>
      </c>
      <c r="G824" t="n">
        <v>3.2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inlineStr"/>
    </row>
    <row r="825" ht="15" customHeight="1">
      <c r="A825" t="inlineStr">
        <is>
          <t>A 9277-2019</t>
        </is>
      </c>
      <c r="B825" s="1" t="n">
        <v>43507</v>
      </c>
      <c r="C825" s="1" t="n">
        <v>45211</v>
      </c>
      <c r="D825" t="inlineStr">
        <is>
          <t>ÖSTERGÖTLANDS LÄN</t>
        </is>
      </c>
      <c r="E825" t="inlineStr">
        <is>
          <t>ÖDESHÖG</t>
        </is>
      </c>
      <c r="G825" t="n">
        <v>0.6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s="2" t="inlineStr"/>
    </row>
    <row r="826" ht="15" customHeight="1">
      <c r="A826" t="inlineStr">
        <is>
          <t>A 9429-2019</t>
        </is>
      </c>
      <c r="B826" s="1" t="n">
        <v>43507</v>
      </c>
      <c r="C826" s="1" t="n">
        <v>45211</v>
      </c>
      <c r="D826" t="inlineStr">
        <is>
          <t>ÖSTERGÖTLANDS LÄN</t>
        </is>
      </c>
      <c r="E826" t="inlineStr">
        <is>
          <t>VALDEMARSVIK</t>
        </is>
      </c>
      <c r="F826" t="inlineStr">
        <is>
          <t>Övriga Aktiebolag</t>
        </is>
      </c>
      <c r="G826" t="n">
        <v>1.5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s="2" t="inlineStr"/>
    </row>
    <row r="827" ht="15" customHeight="1">
      <c r="A827" t="inlineStr">
        <is>
          <t>A 9643-2019</t>
        </is>
      </c>
      <c r="B827" s="1" t="n">
        <v>43508</v>
      </c>
      <c r="C827" s="1" t="n">
        <v>45211</v>
      </c>
      <c r="D827" t="inlineStr">
        <is>
          <t>ÖSTERGÖTLANDS LÄN</t>
        </is>
      </c>
      <c r="E827" t="inlineStr">
        <is>
          <t>ÅTVIDABERG</t>
        </is>
      </c>
      <c r="G827" t="n">
        <v>1.5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s="2" t="inlineStr"/>
    </row>
    <row r="828" ht="15" customHeight="1">
      <c r="A828" t="inlineStr">
        <is>
          <t>A 9671-2019</t>
        </is>
      </c>
      <c r="B828" s="1" t="n">
        <v>43508</v>
      </c>
      <c r="C828" s="1" t="n">
        <v>45211</v>
      </c>
      <c r="D828" t="inlineStr">
        <is>
          <t>ÖSTERGÖTLANDS LÄN</t>
        </is>
      </c>
      <c r="E828" t="inlineStr">
        <is>
          <t>KINDA</t>
        </is>
      </c>
      <c r="G828" t="n">
        <v>4.2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s="2" t="inlineStr"/>
    </row>
    <row r="829" ht="15" customHeight="1">
      <c r="A829" t="inlineStr">
        <is>
          <t>A 9568-2019</t>
        </is>
      </c>
      <c r="B829" s="1" t="n">
        <v>43508</v>
      </c>
      <c r="C829" s="1" t="n">
        <v>45211</v>
      </c>
      <c r="D829" t="inlineStr">
        <is>
          <t>ÖSTERGÖTLANDS LÄN</t>
        </is>
      </c>
      <c r="E829" t="inlineStr">
        <is>
          <t>FINSPÅNG</t>
        </is>
      </c>
      <c r="G829" t="n">
        <v>2.6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s="2" t="inlineStr"/>
    </row>
    <row r="830" ht="15" customHeight="1">
      <c r="A830" t="inlineStr">
        <is>
          <t>A 9613-2019</t>
        </is>
      </c>
      <c r="B830" s="1" t="n">
        <v>43508</v>
      </c>
      <c r="C830" s="1" t="n">
        <v>45211</v>
      </c>
      <c r="D830" t="inlineStr">
        <is>
          <t>ÖSTERGÖTLANDS LÄN</t>
        </is>
      </c>
      <c r="E830" t="inlineStr">
        <is>
          <t>LINKÖPING</t>
        </is>
      </c>
      <c r="G830" t="n">
        <v>1.7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s="2" t="inlineStr"/>
    </row>
    <row r="831" ht="15" customHeight="1">
      <c r="A831" t="inlineStr">
        <is>
          <t>A 9817-2019</t>
        </is>
      </c>
      <c r="B831" s="1" t="n">
        <v>43509</v>
      </c>
      <c r="C831" s="1" t="n">
        <v>45211</v>
      </c>
      <c r="D831" t="inlineStr">
        <is>
          <t>ÖSTERGÖTLANDS LÄN</t>
        </is>
      </c>
      <c r="E831" t="inlineStr">
        <is>
          <t>NORRKÖPING</t>
        </is>
      </c>
      <c r="G831" t="n">
        <v>0.7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s="2" t="inlineStr"/>
    </row>
    <row r="832" ht="15" customHeight="1">
      <c r="A832" t="inlineStr">
        <is>
          <t>A 9833-2019</t>
        </is>
      </c>
      <c r="B832" s="1" t="n">
        <v>43509</v>
      </c>
      <c r="C832" s="1" t="n">
        <v>45211</v>
      </c>
      <c r="D832" t="inlineStr">
        <is>
          <t>ÖSTERGÖTLANDS LÄN</t>
        </is>
      </c>
      <c r="E832" t="inlineStr">
        <is>
          <t>NORRKÖPING</t>
        </is>
      </c>
      <c r="G832" t="n">
        <v>1.2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s="2" t="inlineStr"/>
    </row>
    <row r="833" ht="15" customHeight="1">
      <c r="A833" t="inlineStr">
        <is>
          <t>A 9839-2019</t>
        </is>
      </c>
      <c r="B833" s="1" t="n">
        <v>43509</v>
      </c>
      <c r="C833" s="1" t="n">
        <v>45211</v>
      </c>
      <c r="D833" t="inlineStr">
        <is>
          <t>ÖSTERGÖTLANDS LÄN</t>
        </is>
      </c>
      <c r="E833" t="inlineStr">
        <is>
          <t>NORRKÖPING</t>
        </is>
      </c>
      <c r="G833" t="n">
        <v>7.9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s="2" t="inlineStr"/>
    </row>
    <row r="834" ht="15" customHeight="1">
      <c r="A834" t="inlineStr">
        <is>
          <t>A 9838-2019</t>
        </is>
      </c>
      <c r="B834" s="1" t="n">
        <v>43509</v>
      </c>
      <c r="C834" s="1" t="n">
        <v>45211</v>
      </c>
      <c r="D834" t="inlineStr">
        <is>
          <t>ÖSTERGÖTLANDS LÄN</t>
        </is>
      </c>
      <c r="E834" t="inlineStr">
        <is>
          <t>LINKÖPING</t>
        </is>
      </c>
      <c r="G834" t="n">
        <v>0.6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s="2" t="inlineStr"/>
    </row>
    <row r="835" ht="15" customHeight="1">
      <c r="A835" t="inlineStr">
        <is>
          <t>A 9840-2019</t>
        </is>
      </c>
      <c r="B835" s="1" t="n">
        <v>43509</v>
      </c>
      <c r="C835" s="1" t="n">
        <v>45211</v>
      </c>
      <c r="D835" t="inlineStr">
        <is>
          <t>ÖSTERGÖTLANDS LÄN</t>
        </is>
      </c>
      <c r="E835" t="inlineStr">
        <is>
          <t>YDRE</t>
        </is>
      </c>
      <c r="G835" t="n">
        <v>1.1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s="2" t="inlineStr"/>
    </row>
    <row r="836" ht="15" customHeight="1">
      <c r="A836" t="inlineStr">
        <is>
          <t>A 10079-2019</t>
        </is>
      </c>
      <c r="B836" s="1" t="n">
        <v>43510</v>
      </c>
      <c r="C836" s="1" t="n">
        <v>45211</v>
      </c>
      <c r="D836" t="inlineStr">
        <is>
          <t>ÖSTERGÖTLANDS LÄN</t>
        </is>
      </c>
      <c r="E836" t="inlineStr">
        <is>
          <t>ÅTVIDABERG</t>
        </is>
      </c>
      <c r="G836" t="n">
        <v>5.8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s="2" t="inlineStr"/>
    </row>
    <row r="837" ht="15" customHeight="1">
      <c r="A837" t="inlineStr">
        <is>
          <t>A 10033-2019</t>
        </is>
      </c>
      <c r="B837" s="1" t="n">
        <v>43510</v>
      </c>
      <c r="C837" s="1" t="n">
        <v>45211</v>
      </c>
      <c r="D837" t="inlineStr">
        <is>
          <t>ÖSTERGÖTLANDS LÄN</t>
        </is>
      </c>
      <c r="E837" t="inlineStr">
        <is>
          <t>LINKÖPING</t>
        </is>
      </c>
      <c r="G837" t="n">
        <v>0.5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s="2" t="inlineStr"/>
    </row>
    <row r="838" ht="15" customHeight="1">
      <c r="A838" t="inlineStr">
        <is>
          <t>A 10047-2019</t>
        </is>
      </c>
      <c r="B838" s="1" t="n">
        <v>43510</v>
      </c>
      <c r="C838" s="1" t="n">
        <v>45211</v>
      </c>
      <c r="D838" t="inlineStr">
        <is>
          <t>ÖSTERGÖTLANDS LÄN</t>
        </is>
      </c>
      <c r="E838" t="inlineStr">
        <is>
          <t>LINKÖPING</t>
        </is>
      </c>
      <c r="G838" t="n">
        <v>1.3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s="2" t="inlineStr"/>
    </row>
    <row r="839" ht="15" customHeight="1">
      <c r="A839" t="inlineStr">
        <is>
          <t>A 10028-2019</t>
        </is>
      </c>
      <c r="B839" s="1" t="n">
        <v>43510</v>
      </c>
      <c r="C839" s="1" t="n">
        <v>45211</v>
      </c>
      <c r="D839" t="inlineStr">
        <is>
          <t>ÖSTERGÖTLANDS LÄN</t>
        </is>
      </c>
      <c r="E839" t="inlineStr">
        <is>
          <t>LINKÖPING</t>
        </is>
      </c>
      <c r="G839" t="n">
        <v>1.1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s="2" t="inlineStr"/>
    </row>
    <row r="840" ht="15" customHeight="1">
      <c r="A840" t="inlineStr">
        <is>
          <t>A 10085-2019</t>
        </is>
      </c>
      <c r="B840" s="1" t="n">
        <v>43510</v>
      </c>
      <c r="C840" s="1" t="n">
        <v>45211</v>
      </c>
      <c r="D840" t="inlineStr">
        <is>
          <t>ÖSTERGÖTLANDS LÄN</t>
        </is>
      </c>
      <c r="E840" t="inlineStr">
        <is>
          <t>ÅTVIDABERG</t>
        </is>
      </c>
      <c r="G840" t="n">
        <v>3.5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s="2" t="inlineStr"/>
    </row>
    <row r="841" ht="15" customHeight="1">
      <c r="A841" t="inlineStr">
        <is>
          <t>A 10024-2019</t>
        </is>
      </c>
      <c r="B841" s="1" t="n">
        <v>43510</v>
      </c>
      <c r="C841" s="1" t="n">
        <v>45211</v>
      </c>
      <c r="D841" t="inlineStr">
        <is>
          <t>ÖSTERGÖTLANDS LÄN</t>
        </is>
      </c>
      <c r="E841" t="inlineStr">
        <is>
          <t>LINKÖPING</t>
        </is>
      </c>
      <c r="G841" t="n">
        <v>4.3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s="2" t="inlineStr"/>
    </row>
    <row r="842" ht="15" customHeight="1">
      <c r="A842" t="inlineStr">
        <is>
          <t>A 10451-2019</t>
        </is>
      </c>
      <c r="B842" s="1" t="n">
        <v>43511</v>
      </c>
      <c r="C842" s="1" t="n">
        <v>45211</v>
      </c>
      <c r="D842" t="inlineStr">
        <is>
          <t>ÖSTERGÖTLANDS LÄN</t>
        </is>
      </c>
      <c r="E842" t="inlineStr">
        <is>
          <t>KINDA</t>
        </is>
      </c>
      <c r="G842" t="n">
        <v>1.2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s="2" t="inlineStr"/>
    </row>
    <row r="843" ht="15" customHeight="1">
      <c r="A843" t="inlineStr">
        <is>
          <t>A 10302-2019</t>
        </is>
      </c>
      <c r="B843" s="1" t="n">
        <v>43511</v>
      </c>
      <c r="C843" s="1" t="n">
        <v>45211</v>
      </c>
      <c r="D843" t="inlineStr">
        <is>
          <t>ÖSTERGÖTLANDS LÄN</t>
        </is>
      </c>
      <c r="E843" t="inlineStr">
        <is>
          <t>LINKÖPING</t>
        </is>
      </c>
      <c r="G843" t="n">
        <v>4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s="2" t="inlineStr"/>
    </row>
    <row r="844" ht="15" customHeight="1">
      <c r="A844" t="inlineStr">
        <is>
          <t>A 10310-2019</t>
        </is>
      </c>
      <c r="B844" s="1" t="n">
        <v>43511</v>
      </c>
      <c r="C844" s="1" t="n">
        <v>45211</v>
      </c>
      <c r="D844" t="inlineStr">
        <is>
          <t>ÖSTERGÖTLANDS LÄN</t>
        </is>
      </c>
      <c r="E844" t="inlineStr">
        <is>
          <t>VALDEMARSVIK</t>
        </is>
      </c>
      <c r="F844" t="inlineStr">
        <is>
          <t>Övriga Aktiebolag</t>
        </is>
      </c>
      <c r="G844" t="n">
        <v>3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s="2" t="inlineStr"/>
    </row>
    <row r="845" ht="15" customHeight="1">
      <c r="A845" t="inlineStr">
        <is>
          <t>A 10623-2019</t>
        </is>
      </c>
      <c r="B845" s="1" t="n">
        <v>43513</v>
      </c>
      <c r="C845" s="1" t="n">
        <v>45211</v>
      </c>
      <c r="D845" t="inlineStr">
        <is>
          <t>ÖSTERGÖTLANDS LÄN</t>
        </is>
      </c>
      <c r="E845" t="inlineStr">
        <is>
          <t>FINSPÅNG</t>
        </is>
      </c>
      <c r="F845" t="inlineStr">
        <is>
          <t>Övriga Aktiebolag</t>
        </is>
      </c>
      <c r="G845" t="n">
        <v>1.2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s="2" t="inlineStr"/>
    </row>
    <row r="846" ht="15" customHeight="1">
      <c r="A846" t="inlineStr">
        <is>
          <t>A 10617-2019</t>
        </is>
      </c>
      <c r="B846" s="1" t="n">
        <v>43513</v>
      </c>
      <c r="C846" s="1" t="n">
        <v>45211</v>
      </c>
      <c r="D846" t="inlineStr">
        <is>
          <t>ÖSTERGÖTLANDS LÄN</t>
        </is>
      </c>
      <c r="E846" t="inlineStr">
        <is>
          <t>FINSPÅNG</t>
        </is>
      </c>
      <c r="F846" t="inlineStr">
        <is>
          <t>Övriga Aktiebolag</t>
        </is>
      </c>
      <c r="G846" t="n">
        <v>2.8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s="2" t="inlineStr"/>
    </row>
    <row r="847" ht="15" customHeight="1">
      <c r="A847" t="inlineStr">
        <is>
          <t>A 10511-2019</t>
        </is>
      </c>
      <c r="B847" s="1" t="n">
        <v>43513</v>
      </c>
      <c r="C847" s="1" t="n">
        <v>45211</v>
      </c>
      <c r="D847" t="inlineStr">
        <is>
          <t>ÖSTERGÖTLANDS LÄN</t>
        </is>
      </c>
      <c r="E847" t="inlineStr">
        <is>
          <t>ÅTVIDABERG</t>
        </is>
      </c>
      <c r="G847" t="n">
        <v>2.9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s="2" t="inlineStr"/>
    </row>
    <row r="848" ht="15" customHeight="1">
      <c r="A848" t="inlineStr">
        <is>
          <t>A 10633-2019</t>
        </is>
      </c>
      <c r="B848" s="1" t="n">
        <v>43513</v>
      </c>
      <c r="C848" s="1" t="n">
        <v>45211</v>
      </c>
      <c r="D848" t="inlineStr">
        <is>
          <t>ÖSTERGÖTLANDS LÄN</t>
        </is>
      </c>
      <c r="E848" t="inlineStr">
        <is>
          <t>FINSPÅNG</t>
        </is>
      </c>
      <c r="F848" t="inlineStr">
        <is>
          <t>Övriga Aktiebolag</t>
        </is>
      </c>
      <c r="G848" t="n">
        <v>5.3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s="2" t="inlineStr"/>
    </row>
    <row r="849" ht="15" customHeight="1">
      <c r="A849" t="inlineStr">
        <is>
          <t>A 10523-2019</t>
        </is>
      </c>
      <c r="B849" s="1" t="n">
        <v>43514</v>
      </c>
      <c r="C849" s="1" t="n">
        <v>45211</v>
      </c>
      <c r="D849" t="inlineStr">
        <is>
          <t>ÖSTERGÖTLANDS LÄN</t>
        </is>
      </c>
      <c r="E849" t="inlineStr">
        <is>
          <t>YDRE</t>
        </is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s="2" t="inlineStr"/>
    </row>
    <row r="850" ht="15" customHeight="1">
      <c r="A850" t="inlineStr">
        <is>
          <t>A 10522-2019</t>
        </is>
      </c>
      <c r="B850" s="1" t="n">
        <v>43514</v>
      </c>
      <c r="C850" s="1" t="n">
        <v>45211</v>
      </c>
      <c r="D850" t="inlineStr">
        <is>
          <t>ÖSTERGÖTLANDS LÄN</t>
        </is>
      </c>
      <c r="E850" t="inlineStr">
        <is>
          <t>YDRE</t>
        </is>
      </c>
      <c r="G850" t="n">
        <v>1.1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s="2" t="inlineStr"/>
    </row>
    <row r="851" ht="15" customHeight="1">
      <c r="A851" t="inlineStr">
        <is>
          <t>A 10769-2019</t>
        </is>
      </c>
      <c r="B851" s="1" t="n">
        <v>43514</v>
      </c>
      <c r="C851" s="1" t="n">
        <v>45211</v>
      </c>
      <c r="D851" t="inlineStr">
        <is>
          <t>ÖSTERGÖTLANDS LÄN</t>
        </is>
      </c>
      <c r="E851" t="inlineStr">
        <is>
          <t>KINDA</t>
        </is>
      </c>
      <c r="F851" t="inlineStr">
        <is>
          <t>Kyrkan</t>
        </is>
      </c>
      <c r="G851" t="n">
        <v>2.7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s="2" t="inlineStr"/>
    </row>
    <row r="852" ht="15" customHeight="1">
      <c r="A852" t="inlineStr">
        <is>
          <t>A 10645-2019</t>
        </is>
      </c>
      <c r="B852" s="1" t="n">
        <v>43514</v>
      </c>
      <c r="C852" s="1" t="n">
        <v>45211</v>
      </c>
      <c r="D852" t="inlineStr">
        <is>
          <t>ÖSTERGÖTLANDS LÄN</t>
        </is>
      </c>
      <c r="E852" t="inlineStr">
        <is>
          <t>MOTALA</t>
        </is>
      </c>
      <c r="F852" t="inlineStr">
        <is>
          <t>Kyrkan</t>
        </is>
      </c>
      <c r="G852" t="n">
        <v>6.1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s="2" t="inlineStr"/>
    </row>
    <row r="853" ht="15" customHeight="1">
      <c r="A853" t="inlineStr">
        <is>
          <t>A 10570-2019</t>
        </is>
      </c>
      <c r="B853" s="1" t="n">
        <v>43514</v>
      </c>
      <c r="C853" s="1" t="n">
        <v>45211</v>
      </c>
      <c r="D853" t="inlineStr">
        <is>
          <t>ÖSTERGÖTLANDS LÄN</t>
        </is>
      </c>
      <c r="E853" t="inlineStr">
        <is>
          <t>ÅTVIDABERG</t>
        </is>
      </c>
      <c r="F853" t="inlineStr">
        <is>
          <t>Kyrkan</t>
        </is>
      </c>
      <c r="G853" t="n">
        <v>3.5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s="2" t="inlineStr"/>
    </row>
    <row r="854" ht="15" customHeight="1">
      <c r="A854" t="inlineStr">
        <is>
          <t>A 11070-2019</t>
        </is>
      </c>
      <c r="B854" s="1" t="n">
        <v>43515</v>
      </c>
      <c r="C854" s="1" t="n">
        <v>45211</v>
      </c>
      <c r="D854" t="inlineStr">
        <is>
          <t>ÖSTERGÖTLANDS LÄN</t>
        </is>
      </c>
      <c r="E854" t="inlineStr">
        <is>
          <t>KINDA</t>
        </is>
      </c>
      <c r="G854" t="n">
        <v>8.699999999999999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s="2" t="inlineStr"/>
    </row>
    <row r="855" ht="15" customHeight="1">
      <c r="A855" t="inlineStr">
        <is>
          <t>A 10999-2019</t>
        </is>
      </c>
      <c r="B855" s="1" t="n">
        <v>43515</v>
      </c>
      <c r="C855" s="1" t="n">
        <v>45211</v>
      </c>
      <c r="D855" t="inlineStr">
        <is>
          <t>ÖSTERGÖTLANDS LÄN</t>
        </is>
      </c>
      <c r="E855" t="inlineStr">
        <is>
          <t>BOXHOLM</t>
        </is>
      </c>
      <c r="F855" t="inlineStr">
        <is>
          <t>Övriga Aktiebolag</t>
        </is>
      </c>
      <c r="G855" t="n">
        <v>1.5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s="2" t="inlineStr"/>
    </row>
    <row r="856" ht="15" customHeight="1">
      <c r="A856" t="inlineStr">
        <is>
          <t>A 10920-2019</t>
        </is>
      </c>
      <c r="B856" s="1" t="n">
        <v>43515</v>
      </c>
      <c r="C856" s="1" t="n">
        <v>45211</v>
      </c>
      <c r="D856" t="inlineStr">
        <is>
          <t>ÖSTERGÖTLANDS LÄN</t>
        </is>
      </c>
      <c r="E856" t="inlineStr">
        <is>
          <t>MOTALA</t>
        </is>
      </c>
      <c r="F856" t="inlineStr">
        <is>
          <t>Kommuner</t>
        </is>
      </c>
      <c r="G856" t="n">
        <v>0.7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s="2" t="inlineStr"/>
    </row>
    <row r="857" ht="15" customHeight="1">
      <c r="A857" t="inlineStr">
        <is>
          <t>A 11105-2019</t>
        </is>
      </c>
      <c r="B857" s="1" t="n">
        <v>43516</v>
      </c>
      <c r="C857" s="1" t="n">
        <v>45211</v>
      </c>
      <c r="D857" t="inlineStr">
        <is>
          <t>ÖSTERGÖTLANDS LÄN</t>
        </is>
      </c>
      <c r="E857" t="inlineStr">
        <is>
          <t>SÖDERKÖPING</t>
        </is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s="2" t="inlineStr"/>
    </row>
    <row r="858" ht="15" customHeight="1">
      <c r="A858" t="inlineStr">
        <is>
          <t>A 11238-2019</t>
        </is>
      </c>
      <c r="B858" s="1" t="n">
        <v>43516</v>
      </c>
      <c r="C858" s="1" t="n">
        <v>45211</v>
      </c>
      <c r="D858" t="inlineStr">
        <is>
          <t>ÖSTERGÖTLANDS LÄN</t>
        </is>
      </c>
      <c r="E858" t="inlineStr">
        <is>
          <t>LINKÖPING</t>
        </is>
      </c>
      <c r="G858" t="n">
        <v>0.8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s="2" t="inlineStr"/>
    </row>
    <row r="859" ht="15" customHeight="1">
      <c r="A859" t="inlineStr">
        <is>
          <t>A 11239-2019</t>
        </is>
      </c>
      <c r="B859" s="1" t="n">
        <v>43516</v>
      </c>
      <c r="C859" s="1" t="n">
        <v>45211</v>
      </c>
      <c r="D859" t="inlineStr">
        <is>
          <t>ÖSTERGÖTLANDS LÄN</t>
        </is>
      </c>
      <c r="E859" t="inlineStr">
        <is>
          <t>LINKÖPING</t>
        </is>
      </c>
      <c r="G859" t="n">
        <v>2.2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s="2" t="inlineStr"/>
    </row>
    <row r="860" ht="15" customHeight="1">
      <c r="A860" t="inlineStr">
        <is>
          <t>A 11099-2019</t>
        </is>
      </c>
      <c r="B860" s="1" t="n">
        <v>43516</v>
      </c>
      <c r="C860" s="1" t="n">
        <v>45211</v>
      </c>
      <c r="D860" t="inlineStr">
        <is>
          <t>ÖSTERGÖTLANDS LÄN</t>
        </is>
      </c>
      <c r="E860" t="inlineStr">
        <is>
          <t>SÖDERKÖPING</t>
        </is>
      </c>
      <c r="G860" t="n">
        <v>5.4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s="2" t="inlineStr"/>
    </row>
    <row r="861" ht="15" customHeight="1">
      <c r="A861" t="inlineStr">
        <is>
          <t>A 11411-2019</t>
        </is>
      </c>
      <c r="B861" s="1" t="n">
        <v>43517</v>
      </c>
      <c r="C861" s="1" t="n">
        <v>45211</v>
      </c>
      <c r="D861" t="inlineStr">
        <is>
          <t>ÖSTERGÖTLANDS LÄN</t>
        </is>
      </c>
      <c r="E861" t="inlineStr">
        <is>
          <t>YDRE</t>
        </is>
      </c>
      <c r="G861" t="n">
        <v>6.7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s="2" t="inlineStr"/>
    </row>
    <row r="862" ht="15" customHeight="1">
      <c r="A862" t="inlineStr">
        <is>
          <t>A 11334-2019</t>
        </is>
      </c>
      <c r="B862" s="1" t="n">
        <v>43517</v>
      </c>
      <c r="C862" s="1" t="n">
        <v>45211</v>
      </c>
      <c r="D862" t="inlineStr">
        <is>
          <t>ÖSTERGÖTLANDS LÄN</t>
        </is>
      </c>
      <c r="E862" t="inlineStr">
        <is>
          <t>NORRKÖPING</t>
        </is>
      </c>
      <c r="G862" t="n">
        <v>3.6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s="2" t="inlineStr"/>
    </row>
    <row r="863" ht="15" customHeight="1">
      <c r="A863" t="inlineStr">
        <is>
          <t>A 11483-2019</t>
        </is>
      </c>
      <c r="B863" s="1" t="n">
        <v>43517</v>
      </c>
      <c r="C863" s="1" t="n">
        <v>45211</v>
      </c>
      <c r="D863" t="inlineStr">
        <is>
          <t>ÖSTERGÖTLANDS LÄN</t>
        </is>
      </c>
      <c r="E863" t="inlineStr">
        <is>
          <t>LINKÖPING</t>
        </is>
      </c>
      <c r="G863" t="n">
        <v>0.9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s="2" t="inlineStr"/>
    </row>
    <row r="864" ht="15" customHeight="1">
      <c r="A864" t="inlineStr">
        <is>
          <t>A 11438-2019</t>
        </is>
      </c>
      <c r="B864" s="1" t="n">
        <v>43517</v>
      </c>
      <c r="C864" s="1" t="n">
        <v>45211</v>
      </c>
      <c r="D864" t="inlineStr">
        <is>
          <t>ÖSTERGÖTLANDS LÄN</t>
        </is>
      </c>
      <c r="E864" t="inlineStr">
        <is>
          <t>KINDA</t>
        </is>
      </c>
      <c r="G864" t="n">
        <v>2.1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s="2" t="inlineStr"/>
    </row>
    <row r="865" ht="15" customHeight="1">
      <c r="A865" t="inlineStr">
        <is>
          <t>A 11663-2019</t>
        </is>
      </c>
      <c r="B865" s="1" t="n">
        <v>43518</v>
      </c>
      <c r="C865" s="1" t="n">
        <v>45211</v>
      </c>
      <c r="D865" t="inlineStr">
        <is>
          <t>ÖSTERGÖTLANDS LÄN</t>
        </is>
      </c>
      <c r="E865" t="inlineStr">
        <is>
          <t>MOTALA</t>
        </is>
      </c>
      <c r="G865" t="n">
        <v>1.5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s="2" t="inlineStr"/>
    </row>
    <row r="866" ht="15" customHeight="1">
      <c r="A866" t="inlineStr">
        <is>
          <t>A 11664-2019</t>
        </is>
      </c>
      <c r="B866" s="1" t="n">
        <v>43518</v>
      </c>
      <c r="C866" s="1" t="n">
        <v>45211</v>
      </c>
      <c r="D866" t="inlineStr">
        <is>
          <t>ÖSTERGÖTLANDS LÄN</t>
        </is>
      </c>
      <c r="E866" t="inlineStr">
        <is>
          <t>LINKÖPING</t>
        </is>
      </c>
      <c r="G866" t="n">
        <v>6.1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s="2" t="inlineStr"/>
    </row>
    <row r="867" ht="15" customHeight="1">
      <c r="A867" t="inlineStr">
        <is>
          <t>A 11970-2019</t>
        </is>
      </c>
      <c r="B867" s="1" t="n">
        <v>43521</v>
      </c>
      <c r="C867" s="1" t="n">
        <v>45211</v>
      </c>
      <c r="D867" t="inlineStr">
        <is>
          <t>ÖSTERGÖTLANDS LÄN</t>
        </is>
      </c>
      <c r="E867" t="inlineStr">
        <is>
          <t>YDRE</t>
        </is>
      </c>
      <c r="G867" t="n">
        <v>4.3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s="2" t="inlineStr"/>
    </row>
    <row r="868" ht="15" customHeight="1">
      <c r="A868" t="inlineStr">
        <is>
          <t>A 12068-2019</t>
        </is>
      </c>
      <c r="B868" s="1" t="n">
        <v>43521</v>
      </c>
      <c r="C868" s="1" t="n">
        <v>45211</v>
      </c>
      <c r="D868" t="inlineStr">
        <is>
          <t>ÖSTERGÖTLANDS LÄN</t>
        </is>
      </c>
      <c r="E868" t="inlineStr">
        <is>
          <t>LINKÖPING</t>
        </is>
      </c>
      <c r="G868" t="n">
        <v>0.6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s="2" t="inlineStr"/>
    </row>
    <row r="869" ht="15" customHeight="1">
      <c r="A869" t="inlineStr">
        <is>
          <t>A 11971-2019</t>
        </is>
      </c>
      <c r="B869" s="1" t="n">
        <v>43521</v>
      </c>
      <c r="C869" s="1" t="n">
        <v>45211</v>
      </c>
      <c r="D869" t="inlineStr">
        <is>
          <t>ÖSTERGÖTLANDS LÄN</t>
        </is>
      </c>
      <c r="E869" t="inlineStr">
        <is>
          <t>YDRE</t>
        </is>
      </c>
      <c r="G869" t="n">
        <v>7.8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s="2" t="inlineStr"/>
    </row>
    <row r="870" ht="15" customHeight="1">
      <c r="A870" t="inlineStr">
        <is>
          <t>A 12230-2019</t>
        </is>
      </c>
      <c r="B870" s="1" t="n">
        <v>43522</v>
      </c>
      <c r="C870" s="1" t="n">
        <v>45211</v>
      </c>
      <c r="D870" t="inlineStr">
        <is>
          <t>ÖSTERGÖTLANDS LÄN</t>
        </is>
      </c>
      <c r="E870" t="inlineStr">
        <is>
          <t>FINSPÅNG</t>
        </is>
      </c>
      <c r="G870" t="n">
        <v>0.5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s="2" t="inlineStr"/>
    </row>
    <row r="871" ht="15" customHeight="1">
      <c r="A871" t="inlineStr">
        <is>
          <t>A 12139-2019</t>
        </is>
      </c>
      <c r="B871" s="1" t="n">
        <v>43522</v>
      </c>
      <c r="C871" s="1" t="n">
        <v>45211</v>
      </c>
      <c r="D871" t="inlineStr">
        <is>
          <t>ÖSTERGÖTLANDS LÄN</t>
        </is>
      </c>
      <c r="E871" t="inlineStr">
        <is>
          <t>NORRKÖPING</t>
        </is>
      </c>
      <c r="G871" t="n">
        <v>6.5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s="2" t="inlineStr"/>
    </row>
    <row r="872" ht="15" customHeight="1">
      <c r="A872" t="inlineStr">
        <is>
          <t>A 12145-2019</t>
        </is>
      </c>
      <c r="B872" s="1" t="n">
        <v>43522</v>
      </c>
      <c r="C872" s="1" t="n">
        <v>45211</v>
      </c>
      <c r="D872" t="inlineStr">
        <is>
          <t>ÖSTERGÖTLANDS LÄN</t>
        </is>
      </c>
      <c r="E872" t="inlineStr">
        <is>
          <t>NORRKÖPING</t>
        </is>
      </c>
      <c r="G872" t="n">
        <v>3.1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s="2" t="inlineStr"/>
    </row>
    <row r="873" ht="15" customHeight="1">
      <c r="A873" t="inlineStr">
        <is>
          <t>A 12623-2019</t>
        </is>
      </c>
      <c r="B873" s="1" t="n">
        <v>43524</v>
      </c>
      <c r="C873" s="1" t="n">
        <v>45211</v>
      </c>
      <c r="D873" t="inlineStr">
        <is>
          <t>ÖSTERGÖTLANDS LÄN</t>
        </is>
      </c>
      <c r="E873" t="inlineStr">
        <is>
          <t>YDRE</t>
        </is>
      </c>
      <c r="G873" t="n">
        <v>1.6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s="2" t="inlineStr"/>
    </row>
    <row r="874" ht="15" customHeight="1">
      <c r="A874" t="inlineStr">
        <is>
          <t>A 12635-2019</t>
        </is>
      </c>
      <c r="B874" s="1" t="n">
        <v>43524</v>
      </c>
      <c r="C874" s="1" t="n">
        <v>45211</v>
      </c>
      <c r="D874" t="inlineStr">
        <is>
          <t>ÖSTERGÖTLANDS LÄN</t>
        </is>
      </c>
      <c r="E874" t="inlineStr">
        <is>
          <t>YDRE</t>
        </is>
      </c>
      <c r="G874" t="n">
        <v>0.7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s="2" t="inlineStr"/>
    </row>
    <row r="875" ht="15" customHeight="1">
      <c r="A875" t="inlineStr">
        <is>
          <t>A 12653-2019</t>
        </is>
      </c>
      <c r="B875" s="1" t="n">
        <v>43524</v>
      </c>
      <c r="C875" s="1" t="n">
        <v>45211</v>
      </c>
      <c r="D875" t="inlineStr">
        <is>
          <t>ÖSTERGÖTLANDS LÄN</t>
        </is>
      </c>
      <c r="E875" t="inlineStr">
        <is>
          <t>YDRE</t>
        </is>
      </c>
      <c r="G875" t="n">
        <v>0.8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s="2" t="inlineStr"/>
    </row>
    <row r="876" ht="15" customHeight="1">
      <c r="A876" t="inlineStr">
        <is>
          <t>A 12658-2019</t>
        </is>
      </c>
      <c r="B876" s="1" t="n">
        <v>43524</v>
      </c>
      <c r="C876" s="1" t="n">
        <v>45211</v>
      </c>
      <c r="D876" t="inlineStr">
        <is>
          <t>ÖSTERGÖTLANDS LÄN</t>
        </is>
      </c>
      <c r="E876" t="inlineStr">
        <is>
          <t>YDRE</t>
        </is>
      </c>
      <c r="G876" t="n">
        <v>16.7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s="2" t="inlineStr"/>
    </row>
    <row r="877" ht="15" customHeight="1">
      <c r="A877" t="inlineStr">
        <is>
          <t>A 12654-2019</t>
        </is>
      </c>
      <c r="B877" s="1" t="n">
        <v>43524</v>
      </c>
      <c r="C877" s="1" t="n">
        <v>45211</v>
      </c>
      <c r="D877" t="inlineStr">
        <is>
          <t>ÖSTERGÖTLANDS LÄN</t>
        </is>
      </c>
      <c r="E877" t="inlineStr">
        <is>
          <t>YDRE</t>
        </is>
      </c>
      <c r="G877" t="n">
        <v>4.5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s="2" t="inlineStr"/>
    </row>
    <row r="878" ht="15" customHeight="1">
      <c r="A878" t="inlineStr">
        <is>
          <t>A 12698-2019</t>
        </is>
      </c>
      <c r="B878" s="1" t="n">
        <v>43524</v>
      </c>
      <c r="C878" s="1" t="n">
        <v>45211</v>
      </c>
      <c r="D878" t="inlineStr">
        <is>
          <t>ÖSTERGÖTLANDS LÄN</t>
        </is>
      </c>
      <c r="E878" t="inlineStr">
        <is>
          <t>SÖDERKÖPING</t>
        </is>
      </c>
      <c r="G878" t="n">
        <v>1.6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s="2" t="inlineStr"/>
    </row>
    <row r="879" ht="15" customHeight="1">
      <c r="A879" t="inlineStr">
        <is>
          <t>A 12647-2019</t>
        </is>
      </c>
      <c r="B879" s="1" t="n">
        <v>43524</v>
      </c>
      <c r="C879" s="1" t="n">
        <v>45211</v>
      </c>
      <c r="D879" t="inlineStr">
        <is>
          <t>ÖSTERGÖTLANDS LÄN</t>
        </is>
      </c>
      <c r="E879" t="inlineStr">
        <is>
          <t>YDRE</t>
        </is>
      </c>
      <c r="G879" t="n">
        <v>0.7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s="2" t="inlineStr"/>
    </row>
    <row r="880" ht="15" customHeight="1">
      <c r="A880" t="inlineStr">
        <is>
          <t>A 12673-2019</t>
        </is>
      </c>
      <c r="B880" s="1" t="n">
        <v>43524</v>
      </c>
      <c r="C880" s="1" t="n">
        <v>45211</v>
      </c>
      <c r="D880" t="inlineStr">
        <is>
          <t>ÖSTERGÖTLANDS LÄN</t>
        </is>
      </c>
      <c r="E880" t="inlineStr">
        <is>
          <t>ÖDESHÖG</t>
        </is>
      </c>
      <c r="G880" t="n">
        <v>4.2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s="2" t="inlineStr"/>
    </row>
    <row r="881" ht="15" customHeight="1">
      <c r="A881" t="inlineStr">
        <is>
          <t>A 12681-2019</t>
        </is>
      </c>
      <c r="B881" s="1" t="n">
        <v>43524</v>
      </c>
      <c r="C881" s="1" t="n">
        <v>45211</v>
      </c>
      <c r="D881" t="inlineStr">
        <is>
          <t>ÖSTERGÖTLANDS LÄN</t>
        </is>
      </c>
      <c r="E881" t="inlineStr">
        <is>
          <t>NORRKÖPING</t>
        </is>
      </c>
      <c r="F881" t="inlineStr">
        <is>
          <t>Allmännings- och besparingsskogar</t>
        </is>
      </c>
      <c r="G881" t="n">
        <v>1.3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s="2" t="inlineStr"/>
    </row>
    <row r="882" ht="15" customHeight="1">
      <c r="A882" t="inlineStr">
        <is>
          <t>A 12786-2019</t>
        </is>
      </c>
      <c r="B882" s="1" t="n">
        <v>43525</v>
      </c>
      <c r="C882" s="1" t="n">
        <v>45211</v>
      </c>
      <c r="D882" t="inlineStr">
        <is>
          <t>ÖSTERGÖTLANDS LÄN</t>
        </is>
      </c>
      <c r="E882" t="inlineStr">
        <is>
          <t>FINSPÅNG</t>
        </is>
      </c>
      <c r="F882" t="inlineStr">
        <is>
          <t>Holmen skog AB</t>
        </is>
      </c>
      <c r="G882" t="n">
        <v>0.6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s="2" t="inlineStr"/>
    </row>
    <row r="883" ht="15" customHeight="1">
      <c r="A883" t="inlineStr">
        <is>
          <t>A 12771-2019</t>
        </is>
      </c>
      <c r="B883" s="1" t="n">
        <v>43525</v>
      </c>
      <c r="C883" s="1" t="n">
        <v>45211</v>
      </c>
      <c r="D883" t="inlineStr">
        <is>
          <t>ÖSTERGÖTLANDS LÄN</t>
        </is>
      </c>
      <c r="E883" t="inlineStr">
        <is>
          <t>ÖDESHÖG</t>
        </is>
      </c>
      <c r="G883" t="n">
        <v>7.2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s="2" t="inlineStr"/>
    </row>
    <row r="884" ht="15" customHeight="1">
      <c r="A884" t="inlineStr">
        <is>
          <t>A 12859-2019</t>
        </is>
      </c>
      <c r="B884" s="1" t="n">
        <v>43525</v>
      </c>
      <c r="C884" s="1" t="n">
        <v>45211</v>
      </c>
      <c r="D884" t="inlineStr">
        <is>
          <t>ÖSTERGÖTLANDS LÄN</t>
        </is>
      </c>
      <c r="E884" t="inlineStr">
        <is>
          <t>FINSPÅNG</t>
        </is>
      </c>
      <c r="F884" t="inlineStr">
        <is>
          <t>Holmen skog AB</t>
        </is>
      </c>
      <c r="G884" t="n">
        <v>1.2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s="2" t="inlineStr"/>
    </row>
    <row r="885" ht="15" customHeight="1">
      <c r="A885" t="inlineStr">
        <is>
          <t>A 12938-2019</t>
        </is>
      </c>
      <c r="B885" s="1" t="n">
        <v>43525</v>
      </c>
      <c r="C885" s="1" t="n">
        <v>45211</v>
      </c>
      <c r="D885" t="inlineStr">
        <is>
          <t>ÖSTERGÖTLANDS LÄN</t>
        </is>
      </c>
      <c r="E885" t="inlineStr">
        <is>
          <t>BOXHOLM</t>
        </is>
      </c>
      <c r="G885" t="n">
        <v>8.800000000000001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s="2" t="inlineStr"/>
    </row>
    <row r="886" ht="15" customHeight="1">
      <c r="A886" t="inlineStr">
        <is>
          <t>A 13259-2019</t>
        </is>
      </c>
      <c r="B886" s="1" t="n">
        <v>43528</v>
      </c>
      <c r="C886" s="1" t="n">
        <v>45211</v>
      </c>
      <c r="D886" t="inlineStr">
        <is>
          <t>ÖSTERGÖTLANDS LÄN</t>
        </is>
      </c>
      <c r="E886" t="inlineStr">
        <is>
          <t>SÖDERKÖPING</t>
        </is>
      </c>
      <c r="G886" t="n">
        <v>8.1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s="2" t="inlineStr"/>
    </row>
    <row r="887" ht="15" customHeight="1">
      <c r="A887" t="inlineStr">
        <is>
          <t>A 13054-2019</t>
        </is>
      </c>
      <c r="B887" s="1" t="n">
        <v>43528</v>
      </c>
      <c r="C887" s="1" t="n">
        <v>45211</v>
      </c>
      <c r="D887" t="inlineStr">
        <is>
          <t>ÖSTERGÖTLANDS LÄN</t>
        </is>
      </c>
      <c r="E887" t="inlineStr">
        <is>
          <t>YDRE</t>
        </is>
      </c>
      <c r="G887" t="n">
        <v>6.8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s="2" t="inlineStr"/>
    </row>
    <row r="888" ht="15" customHeight="1">
      <c r="A888" t="inlineStr">
        <is>
          <t>A 13147-2019</t>
        </is>
      </c>
      <c r="B888" s="1" t="n">
        <v>43528</v>
      </c>
      <c r="C888" s="1" t="n">
        <v>45211</v>
      </c>
      <c r="D888" t="inlineStr">
        <is>
          <t>ÖSTERGÖTLANDS LÄN</t>
        </is>
      </c>
      <c r="E888" t="inlineStr">
        <is>
          <t>YDRE</t>
        </is>
      </c>
      <c r="F888" t="inlineStr">
        <is>
          <t>Övriga Aktiebolag</t>
        </is>
      </c>
      <c r="G888" t="n">
        <v>11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s="2" t="inlineStr"/>
    </row>
    <row r="889" ht="15" customHeight="1">
      <c r="A889" t="inlineStr">
        <is>
          <t>A 13035-2019</t>
        </is>
      </c>
      <c r="B889" s="1" t="n">
        <v>43528</v>
      </c>
      <c r="C889" s="1" t="n">
        <v>45211</v>
      </c>
      <c r="D889" t="inlineStr">
        <is>
          <t>ÖSTERGÖTLANDS LÄN</t>
        </is>
      </c>
      <c r="E889" t="inlineStr">
        <is>
          <t>NORRKÖPING</t>
        </is>
      </c>
      <c r="G889" t="n">
        <v>2.1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s="2" t="inlineStr"/>
    </row>
    <row r="890" ht="15" customHeight="1">
      <c r="A890" t="inlineStr">
        <is>
          <t>A 13124-2019</t>
        </is>
      </c>
      <c r="B890" s="1" t="n">
        <v>43528</v>
      </c>
      <c r="C890" s="1" t="n">
        <v>45211</v>
      </c>
      <c r="D890" t="inlineStr">
        <is>
          <t>ÖSTERGÖTLANDS LÄN</t>
        </is>
      </c>
      <c r="E890" t="inlineStr">
        <is>
          <t>KINDA</t>
        </is>
      </c>
      <c r="F890" t="inlineStr">
        <is>
          <t>Kommuner</t>
        </is>
      </c>
      <c r="G890" t="n">
        <v>1.2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s="2" t="inlineStr"/>
    </row>
    <row r="891" ht="15" customHeight="1">
      <c r="A891" t="inlineStr">
        <is>
          <t>A 13133-2019</t>
        </is>
      </c>
      <c r="B891" s="1" t="n">
        <v>43528</v>
      </c>
      <c r="C891" s="1" t="n">
        <v>45211</v>
      </c>
      <c r="D891" t="inlineStr">
        <is>
          <t>ÖSTERGÖTLANDS LÄN</t>
        </is>
      </c>
      <c r="E891" t="inlineStr">
        <is>
          <t>KINDA</t>
        </is>
      </c>
      <c r="F891" t="inlineStr">
        <is>
          <t>Kommuner</t>
        </is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s="2" t="inlineStr"/>
    </row>
    <row r="892" ht="15" customHeight="1">
      <c r="A892" t="inlineStr">
        <is>
          <t>A 13171-2019</t>
        </is>
      </c>
      <c r="B892" s="1" t="n">
        <v>43528</v>
      </c>
      <c r="C892" s="1" t="n">
        <v>45211</v>
      </c>
      <c r="D892" t="inlineStr">
        <is>
          <t>ÖSTERGÖTLANDS LÄN</t>
        </is>
      </c>
      <c r="E892" t="inlineStr">
        <is>
          <t>ÅTVIDABERG</t>
        </is>
      </c>
      <c r="G892" t="n">
        <v>1.1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s="2" t="inlineStr"/>
    </row>
    <row r="893" ht="15" customHeight="1">
      <c r="A893" t="inlineStr">
        <is>
          <t>A 13262-2019</t>
        </is>
      </c>
      <c r="B893" s="1" t="n">
        <v>43529</v>
      </c>
      <c r="C893" s="1" t="n">
        <v>45211</v>
      </c>
      <c r="D893" t="inlineStr">
        <is>
          <t>ÖSTERGÖTLANDS LÄN</t>
        </is>
      </c>
      <c r="E893" t="inlineStr">
        <is>
          <t>SÖDERKÖPING</t>
        </is>
      </c>
      <c r="G893" t="n">
        <v>14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s="2" t="inlineStr"/>
    </row>
    <row r="894" ht="15" customHeight="1">
      <c r="A894" t="inlineStr">
        <is>
          <t>A 13290-2019</t>
        </is>
      </c>
      <c r="B894" s="1" t="n">
        <v>43529</v>
      </c>
      <c r="C894" s="1" t="n">
        <v>45211</v>
      </c>
      <c r="D894" t="inlineStr">
        <is>
          <t>ÖSTERGÖTLANDS LÄN</t>
        </is>
      </c>
      <c r="E894" t="inlineStr">
        <is>
          <t>ÖDESHÖG</t>
        </is>
      </c>
      <c r="G894" t="n">
        <v>5.8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s="2" t="inlineStr"/>
    </row>
    <row r="895" ht="15" customHeight="1">
      <c r="A895" t="inlineStr">
        <is>
          <t>A 13658-2019</t>
        </is>
      </c>
      <c r="B895" s="1" t="n">
        <v>43530</v>
      </c>
      <c r="C895" s="1" t="n">
        <v>45211</v>
      </c>
      <c r="D895" t="inlineStr">
        <is>
          <t>ÖSTERGÖTLANDS LÄN</t>
        </is>
      </c>
      <c r="E895" t="inlineStr">
        <is>
          <t>NORRKÖPING</t>
        </is>
      </c>
      <c r="G895" t="n">
        <v>11.5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s="2" t="inlineStr"/>
    </row>
    <row r="896" ht="15" customHeight="1">
      <c r="A896" t="inlineStr">
        <is>
          <t>A 13592-2019</t>
        </is>
      </c>
      <c r="B896" s="1" t="n">
        <v>43530</v>
      </c>
      <c r="C896" s="1" t="n">
        <v>45211</v>
      </c>
      <c r="D896" t="inlineStr">
        <is>
          <t>ÖSTERGÖTLANDS LÄN</t>
        </is>
      </c>
      <c r="E896" t="inlineStr">
        <is>
          <t>KINDA</t>
        </is>
      </c>
      <c r="G896" t="n">
        <v>2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s="2" t="inlineStr"/>
    </row>
    <row r="897" ht="15" customHeight="1">
      <c r="A897" t="inlineStr">
        <is>
          <t>A 13788-2019</t>
        </is>
      </c>
      <c r="B897" s="1" t="n">
        <v>43530</v>
      </c>
      <c r="C897" s="1" t="n">
        <v>45211</v>
      </c>
      <c r="D897" t="inlineStr">
        <is>
          <t>ÖSTERGÖTLANDS LÄN</t>
        </is>
      </c>
      <c r="E897" t="inlineStr">
        <is>
          <t>LINKÖPING</t>
        </is>
      </c>
      <c r="G897" t="n">
        <v>3.5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s="2" t="inlineStr"/>
    </row>
    <row r="898" ht="15" customHeight="1">
      <c r="A898" t="inlineStr">
        <is>
          <t>A 13868-2019</t>
        </is>
      </c>
      <c r="B898" s="1" t="n">
        <v>43531</v>
      </c>
      <c r="C898" s="1" t="n">
        <v>45211</v>
      </c>
      <c r="D898" t="inlineStr">
        <is>
          <t>ÖSTERGÖTLANDS LÄN</t>
        </is>
      </c>
      <c r="E898" t="inlineStr">
        <is>
          <t>FINSPÅNG</t>
        </is>
      </c>
      <c r="F898" t="inlineStr">
        <is>
          <t>Holmen skog AB</t>
        </is>
      </c>
      <c r="G898" t="n">
        <v>0.7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s="2" t="inlineStr"/>
    </row>
    <row r="899" ht="15" customHeight="1">
      <c r="A899" t="inlineStr">
        <is>
          <t>A 14090-2019</t>
        </is>
      </c>
      <c r="B899" s="1" t="n">
        <v>43532</v>
      </c>
      <c r="C899" s="1" t="n">
        <v>45211</v>
      </c>
      <c r="D899" t="inlineStr">
        <is>
          <t>ÖSTERGÖTLANDS LÄN</t>
        </is>
      </c>
      <c r="E899" t="inlineStr">
        <is>
          <t>YDRE</t>
        </is>
      </c>
      <c r="G899" t="n">
        <v>3.9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s="2" t="inlineStr"/>
    </row>
    <row r="900" ht="15" customHeight="1">
      <c r="A900" t="inlineStr">
        <is>
          <t>A 14153-2019</t>
        </is>
      </c>
      <c r="B900" s="1" t="n">
        <v>43533</v>
      </c>
      <c r="C900" s="1" t="n">
        <v>45211</v>
      </c>
      <c r="D900" t="inlineStr">
        <is>
          <t>ÖSTERGÖTLANDS LÄN</t>
        </is>
      </c>
      <c r="E900" t="inlineStr">
        <is>
          <t>KINDA</t>
        </is>
      </c>
      <c r="G900" t="n">
        <v>2.3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s="2" t="inlineStr"/>
    </row>
    <row r="901" ht="15" customHeight="1">
      <c r="A901" t="inlineStr">
        <is>
          <t>A 14262-2019</t>
        </is>
      </c>
      <c r="B901" s="1" t="n">
        <v>43535</v>
      </c>
      <c r="C901" s="1" t="n">
        <v>45211</v>
      </c>
      <c r="D901" t="inlineStr">
        <is>
          <t>ÖSTERGÖTLANDS LÄN</t>
        </is>
      </c>
      <c r="E901" t="inlineStr">
        <is>
          <t>BOXHOLM</t>
        </is>
      </c>
      <c r="F901" t="inlineStr">
        <is>
          <t>Övriga Aktiebolag</t>
        </is>
      </c>
      <c r="G901" t="n">
        <v>0.8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s="2" t="inlineStr"/>
    </row>
    <row r="902" ht="15" customHeight="1">
      <c r="A902" t="inlineStr">
        <is>
          <t>A 14597-2019</t>
        </is>
      </c>
      <c r="B902" s="1" t="n">
        <v>43537</v>
      </c>
      <c r="C902" s="1" t="n">
        <v>45211</v>
      </c>
      <c r="D902" t="inlineStr">
        <is>
          <t>ÖSTERGÖTLANDS LÄN</t>
        </is>
      </c>
      <c r="E902" t="inlineStr">
        <is>
          <t>MOTALA</t>
        </is>
      </c>
      <c r="G902" t="n">
        <v>1.8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s="2" t="inlineStr"/>
    </row>
    <row r="903" ht="15" customHeight="1">
      <c r="A903" t="inlineStr">
        <is>
          <t>A 14615-2019</t>
        </is>
      </c>
      <c r="B903" s="1" t="n">
        <v>43537</v>
      </c>
      <c r="C903" s="1" t="n">
        <v>45211</v>
      </c>
      <c r="D903" t="inlineStr">
        <is>
          <t>ÖSTERGÖTLANDS LÄN</t>
        </is>
      </c>
      <c r="E903" t="inlineStr">
        <is>
          <t>LINKÖPING</t>
        </is>
      </c>
      <c r="G903" t="n">
        <v>2.8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s="2" t="inlineStr"/>
    </row>
    <row r="904" ht="15" customHeight="1">
      <c r="A904" t="inlineStr">
        <is>
          <t>A 14582-2019</t>
        </is>
      </c>
      <c r="B904" s="1" t="n">
        <v>43537</v>
      </c>
      <c r="C904" s="1" t="n">
        <v>45211</v>
      </c>
      <c r="D904" t="inlineStr">
        <is>
          <t>ÖSTERGÖTLANDS LÄN</t>
        </is>
      </c>
      <c r="E904" t="inlineStr">
        <is>
          <t>MOTALA</t>
        </is>
      </c>
      <c r="G904" t="n">
        <v>2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s="2" t="inlineStr"/>
    </row>
    <row r="905" ht="15" customHeight="1">
      <c r="A905" t="inlineStr">
        <is>
          <t>A 15101-2019</t>
        </is>
      </c>
      <c r="B905" s="1" t="n">
        <v>43539</v>
      </c>
      <c r="C905" s="1" t="n">
        <v>45211</v>
      </c>
      <c r="D905" t="inlineStr">
        <is>
          <t>ÖSTERGÖTLANDS LÄN</t>
        </is>
      </c>
      <c r="E905" t="inlineStr">
        <is>
          <t>ÖDESHÖG</t>
        </is>
      </c>
      <c r="G905" t="n">
        <v>5.3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s="2" t="inlineStr"/>
    </row>
    <row r="906" ht="15" customHeight="1">
      <c r="A906" t="inlineStr">
        <is>
          <t>A 15464-2019</t>
        </is>
      </c>
      <c r="B906" s="1" t="n">
        <v>43542</v>
      </c>
      <c r="C906" s="1" t="n">
        <v>45211</v>
      </c>
      <c r="D906" t="inlineStr">
        <is>
          <t>ÖSTERGÖTLANDS LÄN</t>
        </is>
      </c>
      <c r="E906" t="inlineStr">
        <is>
          <t>NORRKÖPING</t>
        </is>
      </c>
      <c r="F906" t="inlineStr">
        <is>
          <t>Holmen skog AB</t>
        </is>
      </c>
      <c r="G906" t="n">
        <v>0.5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s="2" t="inlineStr"/>
    </row>
    <row r="907" ht="15" customHeight="1">
      <c r="A907" t="inlineStr">
        <is>
          <t>A 15220-2019</t>
        </is>
      </c>
      <c r="B907" s="1" t="n">
        <v>43542</v>
      </c>
      <c r="C907" s="1" t="n">
        <v>45211</v>
      </c>
      <c r="D907" t="inlineStr">
        <is>
          <t>ÖSTERGÖTLANDS LÄN</t>
        </is>
      </c>
      <c r="E907" t="inlineStr">
        <is>
          <t>VALDEMARSVIK</t>
        </is>
      </c>
      <c r="F907" t="inlineStr">
        <is>
          <t>Holmen skog AB</t>
        </is>
      </c>
      <c r="G907" t="n">
        <v>2.6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s="2" t="inlineStr"/>
    </row>
    <row r="908" ht="15" customHeight="1">
      <c r="A908" t="inlineStr">
        <is>
          <t>A 15413-2019</t>
        </is>
      </c>
      <c r="B908" s="1" t="n">
        <v>43542</v>
      </c>
      <c r="C908" s="1" t="n">
        <v>45211</v>
      </c>
      <c r="D908" t="inlineStr">
        <is>
          <t>ÖSTERGÖTLANDS LÄN</t>
        </is>
      </c>
      <c r="E908" t="inlineStr">
        <is>
          <t>FINSPÅNG</t>
        </is>
      </c>
      <c r="G908" t="n">
        <v>0.4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s="2" t="inlineStr"/>
    </row>
    <row r="909" ht="15" customHeight="1">
      <c r="A909" t="inlineStr">
        <is>
          <t>A 15731-2019</t>
        </is>
      </c>
      <c r="B909" s="1" t="n">
        <v>43542</v>
      </c>
      <c r="C909" s="1" t="n">
        <v>45211</v>
      </c>
      <c r="D909" t="inlineStr">
        <is>
          <t>ÖSTERGÖTLANDS LÄN</t>
        </is>
      </c>
      <c r="E909" t="inlineStr">
        <is>
          <t>MOTALA</t>
        </is>
      </c>
      <c r="G909" t="n">
        <v>5.2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s="2" t="inlineStr"/>
    </row>
    <row r="910" ht="15" customHeight="1">
      <c r="A910" t="inlineStr">
        <is>
          <t>A 15992-2019</t>
        </is>
      </c>
      <c r="B910" s="1" t="n">
        <v>43542</v>
      </c>
      <c r="C910" s="1" t="n">
        <v>45211</v>
      </c>
      <c r="D910" t="inlineStr">
        <is>
          <t>ÖSTERGÖTLANDS LÄN</t>
        </is>
      </c>
      <c r="E910" t="inlineStr">
        <is>
          <t>KINDA</t>
        </is>
      </c>
      <c r="G910" t="n">
        <v>3.6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s="2" t="inlineStr"/>
    </row>
    <row r="911" ht="15" customHeight="1">
      <c r="A911" t="inlineStr">
        <is>
          <t>A 15548-2019</t>
        </is>
      </c>
      <c r="B911" s="1" t="n">
        <v>43542</v>
      </c>
      <c r="C911" s="1" t="n">
        <v>45211</v>
      </c>
      <c r="D911" t="inlineStr">
        <is>
          <t>ÖSTERGÖTLANDS LÄN</t>
        </is>
      </c>
      <c r="E911" t="inlineStr">
        <is>
          <t>MOTALA</t>
        </is>
      </c>
      <c r="G911" t="n">
        <v>1.5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s="2" t="inlineStr"/>
    </row>
    <row r="912" ht="15" customHeight="1">
      <c r="A912" t="inlineStr">
        <is>
          <t>A 15394-2019</t>
        </is>
      </c>
      <c r="B912" s="1" t="n">
        <v>43542</v>
      </c>
      <c r="C912" s="1" t="n">
        <v>45211</v>
      </c>
      <c r="D912" t="inlineStr">
        <is>
          <t>ÖSTERGÖTLANDS LÄN</t>
        </is>
      </c>
      <c r="E912" t="inlineStr">
        <is>
          <t>MJÖLBY</t>
        </is>
      </c>
      <c r="G912" t="n">
        <v>4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s="2" t="inlineStr"/>
    </row>
    <row r="913" ht="15" customHeight="1">
      <c r="A913" t="inlineStr">
        <is>
          <t>A 15705-2019</t>
        </is>
      </c>
      <c r="B913" s="1" t="n">
        <v>43542</v>
      </c>
      <c r="C913" s="1" t="n">
        <v>45211</v>
      </c>
      <c r="D913" t="inlineStr">
        <is>
          <t>ÖSTERGÖTLANDS LÄN</t>
        </is>
      </c>
      <c r="E913" t="inlineStr">
        <is>
          <t>MOTALA</t>
        </is>
      </c>
      <c r="G913" t="n">
        <v>4.6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s="2" t="inlineStr"/>
    </row>
    <row r="914" ht="15" customHeight="1">
      <c r="A914" t="inlineStr">
        <is>
          <t>A 15833-2019</t>
        </is>
      </c>
      <c r="B914" s="1" t="n">
        <v>43542</v>
      </c>
      <c r="C914" s="1" t="n">
        <v>45211</v>
      </c>
      <c r="D914" t="inlineStr">
        <is>
          <t>ÖSTERGÖTLANDS LÄN</t>
        </is>
      </c>
      <c r="E914" t="inlineStr">
        <is>
          <t>KINDA</t>
        </is>
      </c>
      <c r="G914" t="n">
        <v>2.3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s="2" t="inlineStr"/>
    </row>
    <row r="915" ht="15" customHeight="1">
      <c r="A915" t="inlineStr">
        <is>
          <t>A 15721-2019</t>
        </is>
      </c>
      <c r="B915" s="1" t="n">
        <v>43543</v>
      </c>
      <c r="C915" s="1" t="n">
        <v>45211</v>
      </c>
      <c r="D915" t="inlineStr">
        <is>
          <t>ÖSTERGÖTLANDS LÄN</t>
        </is>
      </c>
      <c r="E915" t="inlineStr">
        <is>
          <t>LINKÖPING</t>
        </is>
      </c>
      <c r="G915" t="n">
        <v>2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s="2" t="inlineStr"/>
    </row>
    <row r="916" ht="15" customHeight="1">
      <c r="A916" t="inlineStr">
        <is>
          <t>A 15582-2019</t>
        </is>
      </c>
      <c r="B916" s="1" t="n">
        <v>43543</v>
      </c>
      <c r="C916" s="1" t="n">
        <v>45211</v>
      </c>
      <c r="D916" t="inlineStr">
        <is>
          <t>ÖSTERGÖTLANDS LÄN</t>
        </is>
      </c>
      <c r="E916" t="inlineStr">
        <is>
          <t>LINKÖPING</t>
        </is>
      </c>
      <c r="G916" t="n">
        <v>1.7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s="2" t="inlineStr"/>
    </row>
    <row r="917" ht="15" customHeight="1">
      <c r="A917" t="inlineStr">
        <is>
          <t>A 15659-2019</t>
        </is>
      </c>
      <c r="B917" s="1" t="n">
        <v>43543</v>
      </c>
      <c r="C917" s="1" t="n">
        <v>45211</v>
      </c>
      <c r="D917" t="inlineStr">
        <is>
          <t>ÖSTERGÖTLANDS LÄN</t>
        </is>
      </c>
      <c r="E917" t="inlineStr">
        <is>
          <t>KINDA</t>
        </is>
      </c>
      <c r="G917" t="n">
        <v>0.1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s="2" t="inlineStr"/>
    </row>
    <row r="918" ht="15" customHeight="1">
      <c r="A918" t="inlineStr">
        <is>
          <t>A 15845-2019</t>
        </is>
      </c>
      <c r="B918" s="1" t="n">
        <v>43543</v>
      </c>
      <c r="C918" s="1" t="n">
        <v>45211</v>
      </c>
      <c r="D918" t="inlineStr">
        <is>
          <t>ÖSTERGÖTLANDS LÄN</t>
        </is>
      </c>
      <c r="E918" t="inlineStr">
        <is>
          <t>ÖDESHÖG</t>
        </is>
      </c>
      <c r="G918" t="n">
        <v>0.4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s="2" t="inlineStr"/>
    </row>
    <row r="919" ht="15" customHeight="1">
      <c r="A919" t="inlineStr">
        <is>
          <t>A 15953-2019</t>
        </is>
      </c>
      <c r="B919" s="1" t="n">
        <v>43544</v>
      </c>
      <c r="C919" s="1" t="n">
        <v>45211</v>
      </c>
      <c r="D919" t="inlineStr">
        <is>
          <t>ÖSTERGÖTLANDS LÄN</t>
        </is>
      </c>
      <c r="E919" t="inlineStr">
        <is>
          <t>YDRE</t>
        </is>
      </c>
      <c r="G919" t="n">
        <v>1.9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s="2" t="inlineStr"/>
    </row>
    <row r="920" ht="15" customHeight="1">
      <c r="A920" t="inlineStr">
        <is>
          <t>A 16018-2019</t>
        </is>
      </c>
      <c r="B920" s="1" t="n">
        <v>43544</v>
      </c>
      <c r="C920" s="1" t="n">
        <v>45211</v>
      </c>
      <c r="D920" t="inlineStr">
        <is>
          <t>ÖSTERGÖTLANDS LÄN</t>
        </is>
      </c>
      <c r="E920" t="inlineStr">
        <is>
          <t>ÅTVIDABERG</t>
        </is>
      </c>
      <c r="G920" t="n">
        <v>1.7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s="2" t="inlineStr"/>
    </row>
    <row r="921" ht="15" customHeight="1">
      <c r="A921" t="inlineStr">
        <is>
          <t>A 15922-2019</t>
        </is>
      </c>
      <c r="B921" s="1" t="n">
        <v>43544</v>
      </c>
      <c r="C921" s="1" t="n">
        <v>45211</v>
      </c>
      <c r="D921" t="inlineStr">
        <is>
          <t>ÖSTERGÖTLANDS LÄN</t>
        </is>
      </c>
      <c r="E921" t="inlineStr">
        <is>
          <t>ÅTVIDABERG</t>
        </is>
      </c>
      <c r="G921" t="n">
        <v>4.6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s="2" t="inlineStr"/>
    </row>
    <row r="922" ht="15" customHeight="1">
      <c r="A922" t="inlineStr">
        <is>
          <t>A 16066-2019</t>
        </is>
      </c>
      <c r="B922" s="1" t="n">
        <v>43544</v>
      </c>
      <c r="C922" s="1" t="n">
        <v>45211</v>
      </c>
      <c r="D922" t="inlineStr">
        <is>
          <t>ÖSTERGÖTLANDS LÄN</t>
        </is>
      </c>
      <c r="E922" t="inlineStr">
        <is>
          <t>LINKÖPING</t>
        </is>
      </c>
      <c r="G922" t="n">
        <v>2.4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s="2" t="inlineStr"/>
    </row>
    <row r="923" ht="15" customHeight="1">
      <c r="A923" t="inlineStr">
        <is>
          <t>A 16119-2019</t>
        </is>
      </c>
      <c r="B923" s="1" t="n">
        <v>43544</v>
      </c>
      <c r="C923" s="1" t="n">
        <v>45211</v>
      </c>
      <c r="D923" t="inlineStr">
        <is>
          <t>ÖSTERGÖTLANDS LÄN</t>
        </is>
      </c>
      <c r="E923" t="inlineStr">
        <is>
          <t>LINKÖPING</t>
        </is>
      </c>
      <c r="G923" t="n">
        <v>4.5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s="2" t="inlineStr"/>
    </row>
    <row r="924" ht="15" customHeight="1">
      <c r="A924" t="inlineStr">
        <is>
          <t>A 16075-2019</t>
        </is>
      </c>
      <c r="B924" s="1" t="n">
        <v>43544</v>
      </c>
      <c r="C924" s="1" t="n">
        <v>45211</v>
      </c>
      <c r="D924" t="inlineStr">
        <is>
          <t>ÖSTERGÖTLANDS LÄN</t>
        </is>
      </c>
      <c r="E924" t="inlineStr">
        <is>
          <t>MJÖLBY</t>
        </is>
      </c>
      <c r="G924" t="n">
        <v>0.6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s="2" t="inlineStr"/>
    </row>
    <row r="925" ht="15" customHeight="1">
      <c r="A925" t="inlineStr">
        <is>
          <t>A 16222-2019</t>
        </is>
      </c>
      <c r="B925" s="1" t="n">
        <v>43545</v>
      </c>
      <c r="C925" s="1" t="n">
        <v>45211</v>
      </c>
      <c r="D925" t="inlineStr">
        <is>
          <t>ÖSTERGÖTLANDS LÄN</t>
        </is>
      </c>
      <c r="E925" t="inlineStr">
        <is>
          <t>FINSPÅNG</t>
        </is>
      </c>
      <c r="G925" t="n">
        <v>0.9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s="2" t="inlineStr"/>
    </row>
    <row r="926" ht="15" customHeight="1">
      <c r="A926" t="inlineStr">
        <is>
          <t>A 16203-2019</t>
        </is>
      </c>
      <c r="B926" s="1" t="n">
        <v>43545</v>
      </c>
      <c r="C926" s="1" t="n">
        <v>45211</v>
      </c>
      <c r="D926" t="inlineStr">
        <is>
          <t>ÖSTERGÖTLANDS LÄN</t>
        </is>
      </c>
      <c r="E926" t="inlineStr">
        <is>
          <t>MOTALA</t>
        </is>
      </c>
      <c r="G926" t="n">
        <v>2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s="2" t="inlineStr"/>
    </row>
    <row r="927" ht="15" customHeight="1">
      <c r="A927" t="inlineStr">
        <is>
          <t>A 16263-2019</t>
        </is>
      </c>
      <c r="B927" s="1" t="n">
        <v>43545</v>
      </c>
      <c r="C927" s="1" t="n">
        <v>45211</v>
      </c>
      <c r="D927" t="inlineStr">
        <is>
          <t>ÖSTERGÖTLANDS LÄN</t>
        </is>
      </c>
      <c r="E927" t="inlineStr">
        <is>
          <t>ÅTVIDABERG</t>
        </is>
      </c>
      <c r="G927" t="n">
        <v>0.5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s="2" t="inlineStr"/>
    </row>
    <row r="928" ht="15" customHeight="1">
      <c r="A928" t="inlineStr">
        <is>
          <t>A 16205-2019</t>
        </is>
      </c>
      <c r="B928" s="1" t="n">
        <v>43545</v>
      </c>
      <c r="C928" s="1" t="n">
        <v>45211</v>
      </c>
      <c r="D928" t="inlineStr">
        <is>
          <t>ÖSTERGÖTLANDS LÄN</t>
        </is>
      </c>
      <c r="E928" t="inlineStr">
        <is>
          <t>MOTALA</t>
        </is>
      </c>
      <c r="G928" t="n">
        <v>1.6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s="2" t="inlineStr"/>
    </row>
    <row r="929" ht="15" customHeight="1">
      <c r="A929" t="inlineStr">
        <is>
          <t>A 16483-2019</t>
        </is>
      </c>
      <c r="B929" s="1" t="n">
        <v>43546</v>
      </c>
      <c r="C929" s="1" t="n">
        <v>45211</v>
      </c>
      <c r="D929" t="inlineStr">
        <is>
          <t>ÖSTERGÖTLANDS LÄN</t>
        </is>
      </c>
      <c r="E929" t="inlineStr">
        <is>
          <t>BOXHOLM</t>
        </is>
      </c>
      <c r="F929" t="inlineStr">
        <is>
          <t>Övriga Aktiebolag</t>
        </is>
      </c>
      <c r="G929" t="n">
        <v>11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s="2" t="inlineStr"/>
    </row>
    <row r="930" ht="15" customHeight="1">
      <c r="A930" t="inlineStr">
        <is>
          <t>A 16488-2019</t>
        </is>
      </c>
      <c r="B930" s="1" t="n">
        <v>43546</v>
      </c>
      <c r="C930" s="1" t="n">
        <v>45211</v>
      </c>
      <c r="D930" t="inlineStr">
        <is>
          <t>ÖSTERGÖTLANDS LÄN</t>
        </is>
      </c>
      <c r="E930" t="inlineStr">
        <is>
          <t>BOXHOLM</t>
        </is>
      </c>
      <c r="F930" t="inlineStr">
        <is>
          <t>Övriga Aktiebolag</t>
        </is>
      </c>
      <c r="G930" t="n">
        <v>1.6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s="2" t="inlineStr"/>
    </row>
    <row r="931" ht="15" customHeight="1">
      <c r="A931" t="inlineStr">
        <is>
          <t>A 16490-2019</t>
        </is>
      </c>
      <c r="B931" s="1" t="n">
        <v>43546</v>
      </c>
      <c r="C931" s="1" t="n">
        <v>45211</v>
      </c>
      <c r="D931" t="inlineStr">
        <is>
          <t>ÖSTERGÖTLANDS LÄN</t>
        </is>
      </c>
      <c r="E931" t="inlineStr">
        <is>
          <t>BOXHOLM</t>
        </is>
      </c>
      <c r="F931" t="inlineStr">
        <is>
          <t>Övriga Aktiebolag</t>
        </is>
      </c>
      <c r="G931" t="n">
        <v>6.7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s="2" t="inlineStr"/>
    </row>
    <row r="932" ht="15" customHeight="1">
      <c r="A932" t="inlineStr">
        <is>
          <t>A 16478-2019</t>
        </is>
      </c>
      <c r="B932" s="1" t="n">
        <v>43546</v>
      </c>
      <c r="C932" s="1" t="n">
        <v>45211</v>
      </c>
      <c r="D932" t="inlineStr">
        <is>
          <t>ÖSTERGÖTLANDS LÄN</t>
        </is>
      </c>
      <c r="E932" t="inlineStr">
        <is>
          <t>BOXHOLM</t>
        </is>
      </c>
      <c r="F932" t="inlineStr">
        <is>
          <t>Övriga Aktiebolag</t>
        </is>
      </c>
      <c r="G932" t="n">
        <v>1.8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s="2" t="inlineStr"/>
    </row>
    <row r="933" ht="15" customHeight="1">
      <c r="A933" t="inlineStr">
        <is>
          <t>A 16493-2019</t>
        </is>
      </c>
      <c r="B933" s="1" t="n">
        <v>43546</v>
      </c>
      <c r="C933" s="1" t="n">
        <v>45211</v>
      </c>
      <c r="D933" t="inlineStr">
        <is>
          <t>ÖSTERGÖTLANDS LÄN</t>
        </is>
      </c>
      <c r="E933" t="inlineStr">
        <is>
          <t>YDRE</t>
        </is>
      </c>
      <c r="F933" t="inlineStr">
        <is>
          <t>Övriga Aktiebolag</t>
        </is>
      </c>
      <c r="G933" t="n">
        <v>2.9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s="2" t="inlineStr"/>
    </row>
    <row r="934" ht="15" customHeight="1">
      <c r="A934" t="inlineStr">
        <is>
          <t>A 16906-2019</t>
        </is>
      </c>
      <c r="B934" s="1" t="n">
        <v>43549</v>
      </c>
      <c r="C934" s="1" t="n">
        <v>45211</v>
      </c>
      <c r="D934" t="inlineStr">
        <is>
          <t>ÖSTERGÖTLANDS LÄN</t>
        </is>
      </c>
      <c r="E934" t="inlineStr">
        <is>
          <t>MOTALA</t>
        </is>
      </c>
      <c r="G934" t="n">
        <v>0.4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s="2" t="inlineStr"/>
    </row>
    <row r="935" ht="15" customHeight="1">
      <c r="A935" t="inlineStr">
        <is>
          <t>A 16593-2019</t>
        </is>
      </c>
      <c r="B935" s="1" t="n">
        <v>43549</v>
      </c>
      <c r="C935" s="1" t="n">
        <v>45211</v>
      </c>
      <c r="D935" t="inlineStr">
        <is>
          <t>ÖSTERGÖTLANDS LÄN</t>
        </is>
      </c>
      <c r="E935" t="inlineStr">
        <is>
          <t>ÅTVIDABERG</t>
        </is>
      </c>
      <c r="G935" t="n">
        <v>1.5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s="2" t="inlineStr"/>
    </row>
    <row r="936" ht="15" customHeight="1">
      <c r="A936" t="inlineStr">
        <is>
          <t>A 17101-2019</t>
        </is>
      </c>
      <c r="B936" s="1" t="n">
        <v>43551</v>
      </c>
      <c r="C936" s="1" t="n">
        <v>45211</v>
      </c>
      <c r="D936" t="inlineStr">
        <is>
          <t>ÖSTERGÖTLANDS LÄN</t>
        </is>
      </c>
      <c r="E936" t="inlineStr">
        <is>
          <t>FINSPÅNG</t>
        </is>
      </c>
      <c r="F936" t="inlineStr">
        <is>
          <t>Holmen skog AB</t>
        </is>
      </c>
      <c r="G936" t="n">
        <v>15.6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s="2" t="inlineStr"/>
    </row>
    <row r="937" ht="15" customHeight="1">
      <c r="A937" t="inlineStr">
        <is>
          <t>A 17127-2019</t>
        </is>
      </c>
      <c r="B937" s="1" t="n">
        <v>43551</v>
      </c>
      <c r="C937" s="1" t="n">
        <v>45211</v>
      </c>
      <c r="D937" t="inlineStr">
        <is>
          <t>ÖSTERGÖTLANDS LÄN</t>
        </is>
      </c>
      <c r="E937" t="inlineStr">
        <is>
          <t>ÖDESHÖG</t>
        </is>
      </c>
      <c r="G937" t="n">
        <v>3.4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s="2" t="inlineStr"/>
    </row>
    <row r="938" ht="15" customHeight="1">
      <c r="A938" t="inlineStr">
        <is>
          <t>A 17193-2019</t>
        </is>
      </c>
      <c r="B938" s="1" t="n">
        <v>43552</v>
      </c>
      <c r="C938" s="1" t="n">
        <v>45211</v>
      </c>
      <c r="D938" t="inlineStr">
        <is>
          <t>ÖSTERGÖTLANDS LÄN</t>
        </is>
      </c>
      <c r="E938" t="inlineStr">
        <is>
          <t>ÖDESHÖG</t>
        </is>
      </c>
      <c r="G938" t="n">
        <v>0.7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s="2" t="inlineStr"/>
    </row>
    <row r="939" ht="15" customHeight="1">
      <c r="A939" t="inlineStr">
        <is>
          <t>A 17403-2019</t>
        </is>
      </c>
      <c r="B939" s="1" t="n">
        <v>43552</v>
      </c>
      <c r="C939" s="1" t="n">
        <v>45211</v>
      </c>
      <c r="D939" t="inlineStr">
        <is>
          <t>ÖSTERGÖTLANDS LÄN</t>
        </is>
      </c>
      <c r="E939" t="inlineStr">
        <is>
          <t>LINKÖPING</t>
        </is>
      </c>
      <c r="G939" t="n">
        <v>1.4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s="2" t="inlineStr"/>
    </row>
    <row r="940" ht="15" customHeight="1">
      <c r="A940" t="inlineStr">
        <is>
          <t>A 17399-2019</t>
        </is>
      </c>
      <c r="B940" s="1" t="n">
        <v>43552</v>
      </c>
      <c r="C940" s="1" t="n">
        <v>45211</v>
      </c>
      <c r="D940" t="inlineStr">
        <is>
          <t>ÖSTERGÖTLANDS LÄN</t>
        </is>
      </c>
      <c r="E940" t="inlineStr">
        <is>
          <t>LINKÖPING</t>
        </is>
      </c>
      <c r="G940" t="n">
        <v>2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s="2" t="inlineStr"/>
    </row>
    <row r="941" ht="15" customHeight="1">
      <c r="A941" t="inlineStr">
        <is>
          <t>A 17419-2019</t>
        </is>
      </c>
      <c r="B941" s="1" t="n">
        <v>43553</v>
      </c>
      <c r="C941" s="1" t="n">
        <v>45211</v>
      </c>
      <c r="D941" t="inlineStr">
        <is>
          <t>ÖSTERGÖTLANDS LÄN</t>
        </is>
      </c>
      <c r="E941" t="inlineStr">
        <is>
          <t>SÖDERKÖPING</t>
        </is>
      </c>
      <c r="G941" t="n">
        <v>2.6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s="2" t="inlineStr"/>
    </row>
    <row r="942" ht="15" customHeight="1">
      <c r="A942" t="inlineStr">
        <is>
          <t>A 17492-2019</t>
        </is>
      </c>
      <c r="B942" s="1" t="n">
        <v>43553</v>
      </c>
      <c r="C942" s="1" t="n">
        <v>45211</v>
      </c>
      <c r="D942" t="inlineStr">
        <is>
          <t>ÖSTERGÖTLANDS LÄN</t>
        </is>
      </c>
      <c r="E942" t="inlineStr">
        <is>
          <t>YDRE</t>
        </is>
      </c>
      <c r="G942" t="n">
        <v>5.4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s="2" t="inlineStr"/>
    </row>
    <row r="943" ht="15" customHeight="1">
      <c r="A943" t="inlineStr">
        <is>
          <t>A 17493-2019</t>
        </is>
      </c>
      <c r="B943" s="1" t="n">
        <v>43553</v>
      </c>
      <c r="C943" s="1" t="n">
        <v>45211</v>
      </c>
      <c r="D943" t="inlineStr">
        <is>
          <t>ÖSTERGÖTLANDS LÄN</t>
        </is>
      </c>
      <c r="E943" t="inlineStr">
        <is>
          <t>YDRE</t>
        </is>
      </c>
      <c r="G943" t="n">
        <v>1.5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s="2" t="inlineStr"/>
    </row>
    <row r="944" ht="15" customHeight="1">
      <c r="A944" t="inlineStr">
        <is>
          <t>A 17599-2019</t>
        </is>
      </c>
      <c r="B944" s="1" t="n">
        <v>43554</v>
      </c>
      <c r="C944" s="1" t="n">
        <v>45211</v>
      </c>
      <c r="D944" t="inlineStr">
        <is>
          <t>ÖSTERGÖTLANDS LÄN</t>
        </is>
      </c>
      <c r="E944" t="inlineStr">
        <is>
          <t>VALDEMARSVIK</t>
        </is>
      </c>
      <c r="G944" t="n">
        <v>7.7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s="2" t="inlineStr"/>
    </row>
    <row r="945" ht="15" customHeight="1">
      <c r="A945" t="inlineStr">
        <is>
          <t>A 17627-2019</t>
        </is>
      </c>
      <c r="B945" s="1" t="n">
        <v>43556</v>
      </c>
      <c r="C945" s="1" t="n">
        <v>45211</v>
      </c>
      <c r="D945" t="inlineStr">
        <is>
          <t>ÖSTERGÖTLANDS LÄN</t>
        </is>
      </c>
      <c r="E945" t="inlineStr">
        <is>
          <t>MOTALA</t>
        </is>
      </c>
      <c r="G945" t="n">
        <v>0.6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s="2" t="inlineStr"/>
    </row>
    <row r="946" ht="15" customHeight="1">
      <c r="A946" t="inlineStr">
        <is>
          <t>A 17735-2019</t>
        </is>
      </c>
      <c r="B946" s="1" t="n">
        <v>43556</v>
      </c>
      <c r="C946" s="1" t="n">
        <v>45211</v>
      </c>
      <c r="D946" t="inlineStr">
        <is>
          <t>ÖSTERGÖTLANDS LÄN</t>
        </is>
      </c>
      <c r="E946" t="inlineStr">
        <is>
          <t>LINKÖPING</t>
        </is>
      </c>
      <c r="G946" t="n">
        <v>8.1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s="2" t="inlineStr"/>
    </row>
    <row r="947" ht="15" customHeight="1">
      <c r="A947" t="inlineStr">
        <is>
          <t>A 18016-2019</t>
        </is>
      </c>
      <c r="B947" s="1" t="n">
        <v>43557</v>
      </c>
      <c r="C947" s="1" t="n">
        <v>45211</v>
      </c>
      <c r="D947" t="inlineStr">
        <is>
          <t>ÖSTERGÖTLANDS LÄN</t>
        </is>
      </c>
      <c r="E947" t="inlineStr">
        <is>
          <t>ÅTVIDABERG</t>
        </is>
      </c>
      <c r="F947" t="inlineStr">
        <is>
          <t>Övriga Aktiebolag</t>
        </is>
      </c>
      <c r="G947" t="n">
        <v>1.4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s="2" t="inlineStr"/>
    </row>
    <row r="948" ht="15" customHeight="1">
      <c r="A948" t="inlineStr">
        <is>
          <t>A 17971-2019</t>
        </is>
      </c>
      <c r="B948" s="1" t="n">
        <v>43557</v>
      </c>
      <c r="C948" s="1" t="n">
        <v>45211</v>
      </c>
      <c r="D948" t="inlineStr">
        <is>
          <t>ÖSTERGÖTLANDS LÄN</t>
        </is>
      </c>
      <c r="E948" t="inlineStr">
        <is>
          <t>LINKÖPING</t>
        </is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s="2" t="inlineStr"/>
    </row>
    <row r="949" ht="15" customHeight="1">
      <c r="A949" t="inlineStr">
        <is>
          <t>A 18047-2019</t>
        </is>
      </c>
      <c r="B949" s="1" t="n">
        <v>43557</v>
      </c>
      <c r="C949" s="1" t="n">
        <v>45211</v>
      </c>
      <c r="D949" t="inlineStr">
        <is>
          <t>ÖSTERGÖTLANDS LÄN</t>
        </is>
      </c>
      <c r="E949" t="inlineStr">
        <is>
          <t>KINDA</t>
        </is>
      </c>
      <c r="G949" t="n">
        <v>7.6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s="2" t="inlineStr"/>
    </row>
    <row r="950" ht="15" customHeight="1">
      <c r="A950" t="inlineStr">
        <is>
          <t>A 18343-2019</t>
        </is>
      </c>
      <c r="B950" s="1" t="n">
        <v>43558</v>
      </c>
      <c r="C950" s="1" t="n">
        <v>45211</v>
      </c>
      <c r="D950" t="inlineStr">
        <is>
          <t>ÖSTERGÖTLANDS LÄN</t>
        </is>
      </c>
      <c r="E950" t="inlineStr">
        <is>
          <t>NORRKÖPING</t>
        </is>
      </c>
      <c r="G950" t="n">
        <v>1.4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s="2" t="inlineStr"/>
    </row>
    <row r="951" ht="15" customHeight="1">
      <c r="A951" t="inlineStr">
        <is>
          <t>A 18524-2019</t>
        </is>
      </c>
      <c r="B951" s="1" t="n">
        <v>43558</v>
      </c>
      <c r="C951" s="1" t="n">
        <v>45211</v>
      </c>
      <c r="D951" t="inlineStr">
        <is>
          <t>ÖSTERGÖTLANDS LÄN</t>
        </is>
      </c>
      <c r="E951" t="inlineStr">
        <is>
          <t>KINDA</t>
        </is>
      </c>
      <c r="G951" t="n">
        <v>5.1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s="2" t="inlineStr"/>
    </row>
    <row r="952" ht="15" customHeight="1">
      <c r="A952" t="inlineStr">
        <is>
          <t>A 18369-2019</t>
        </is>
      </c>
      <c r="B952" s="1" t="n">
        <v>43558</v>
      </c>
      <c r="C952" s="1" t="n">
        <v>45211</v>
      </c>
      <c r="D952" t="inlineStr">
        <is>
          <t>ÖSTERGÖTLANDS LÄN</t>
        </is>
      </c>
      <c r="E952" t="inlineStr">
        <is>
          <t>NORRKÖPING</t>
        </is>
      </c>
      <c r="G952" t="n">
        <v>5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s="2" t="inlineStr"/>
    </row>
    <row r="953" ht="15" customHeight="1">
      <c r="A953" t="inlineStr">
        <is>
          <t>A 18589-2019</t>
        </is>
      </c>
      <c r="B953" s="1" t="n">
        <v>43558</v>
      </c>
      <c r="C953" s="1" t="n">
        <v>45211</v>
      </c>
      <c r="D953" t="inlineStr">
        <is>
          <t>ÖSTERGÖTLANDS LÄN</t>
        </is>
      </c>
      <c r="E953" t="inlineStr">
        <is>
          <t>MOTALA</t>
        </is>
      </c>
      <c r="G953" t="n">
        <v>4.3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s="2" t="inlineStr"/>
    </row>
    <row r="954" ht="15" customHeight="1">
      <c r="A954" t="inlineStr">
        <is>
          <t>A 18097-2019</t>
        </is>
      </c>
      <c r="B954" s="1" t="n">
        <v>43558</v>
      </c>
      <c r="C954" s="1" t="n">
        <v>45211</v>
      </c>
      <c r="D954" t="inlineStr">
        <is>
          <t>ÖSTERGÖTLANDS LÄN</t>
        </is>
      </c>
      <c r="E954" t="inlineStr">
        <is>
          <t>YDRE</t>
        </is>
      </c>
      <c r="G954" t="n">
        <v>4.3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s="2" t="inlineStr"/>
    </row>
    <row r="955" ht="15" customHeight="1">
      <c r="A955" t="inlineStr">
        <is>
          <t>A 18315-2019</t>
        </is>
      </c>
      <c r="B955" s="1" t="n">
        <v>43558</v>
      </c>
      <c r="C955" s="1" t="n">
        <v>45211</v>
      </c>
      <c r="D955" t="inlineStr">
        <is>
          <t>ÖSTERGÖTLANDS LÄN</t>
        </is>
      </c>
      <c r="E955" t="inlineStr">
        <is>
          <t>NORRKÖPING</t>
        </is>
      </c>
      <c r="G955" t="n">
        <v>9.9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s="2" t="inlineStr"/>
    </row>
    <row r="956" ht="15" customHeight="1">
      <c r="A956" t="inlineStr">
        <is>
          <t>A 18592-2019</t>
        </is>
      </c>
      <c r="B956" s="1" t="n">
        <v>43558</v>
      </c>
      <c r="C956" s="1" t="n">
        <v>45211</v>
      </c>
      <c r="D956" t="inlineStr">
        <is>
          <t>ÖSTERGÖTLANDS LÄN</t>
        </is>
      </c>
      <c r="E956" t="inlineStr">
        <is>
          <t>LINKÖPING</t>
        </is>
      </c>
      <c r="G956" t="n">
        <v>1.9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s="2" t="inlineStr"/>
    </row>
    <row r="957" ht="15" customHeight="1">
      <c r="A957" t="inlineStr">
        <is>
          <t>A 18434-2019</t>
        </is>
      </c>
      <c r="B957" s="1" t="n">
        <v>43559</v>
      </c>
      <c r="C957" s="1" t="n">
        <v>45211</v>
      </c>
      <c r="D957" t="inlineStr">
        <is>
          <t>ÖSTERGÖTLANDS LÄN</t>
        </is>
      </c>
      <c r="E957" t="inlineStr">
        <is>
          <t>LINKÖPING</t>
        </is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s="2" t="inlineStr"/>
    </row>
    <row r="958" ht="15" customHeight="1">
      <c r="A958" t="inlineStr">
        <is>
          <t>A 18717-2019</t>
        </is>
      </c>
      <c r="B958" s="1" t="n">
        <v>43560</v>
      </c>
      <c r="C958" s="1" t="n">
        <v>45211</v>
      </c>
      <c r="D958" t="inlineStr">
        <is>
          <t>ÖSTERGÖTLANDS LÄN</t>
        </is>
      </c>
      <c r="E958" t="inlineStr">
        <is>
          <t>BOXHOLM</t>
        </is>
      </c>
      <c r="G958" t="n">
        <v>2.9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s="2" t="inlineStr"/>
    </row>
    <row r="959" ht="15" customHeight="1">
      <c r="A959" t="inlineStr">
        <is>
          <t>A 18597-2019</t>
        </is>
      </c>
      <c r="B959" s="1" t="n">
        <v>43560</v>
      </c>
      <c r="C959" s="1" t="n">
        <v>45211</v>
      </c>
      <c r="D959" t="inlineStr">
        <is>
          <t>ÖSTERGÖTLANDS LÄN</t>
        </is>
      </c>
      <c r="E959" t="inlineStr">
        <is>
          <t>ÖDESHÖG</t>
        </is>
      </c>
      <c r="G959" t="n">
        <v>1.7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s="2" t="inlineStr"/>
    </row>
    <row r="960" ht="15" customHeight="1">
      <c r="A960" t="inlineStr">
        <is>
          <t>A 18663-2019</t>
        </is>
      </c>
      <c r="B960" s="1" t="n">
        <v>43560</v>
      </c>
      <c r="C960" s="1" t="n">
        <v>45211</v>
      </c>
      <c r="D960" t="inlineStr">
        <is>
          <t>ÖSTERGÖTLANDS LÄN</t>
        </is>
      </c>
      <c r="E960" t="inlineStr">
        <is>
          <t>YDRE</t>
        </is>
      </c>
      <c r="G960" t="n">
        <v>1.9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s="2" t="inlineStr"/>
    </row>
    <row r="961" ht="15" customHeight="1">
      <c r="A961" t="inlineStr">
        <is>
          <t>A 18779-2019</t>
        </is>
      </c>
      <c r="B961" s="1" t="n">
        <v>43561</v>
      </c>
      <c r="C961" s="1" t="n">
        <v>45211</v>
      </c>
      <c r="D961" t="inlineStr">
        <is>
          <t>ÖSTERGÖTLANDS LÄN</t>
        </is>
      </c>
      <c r="E961" t="inlineStr">
        <is>
          <t>ÖDESHÖG</t>
        </is>
      </c>
      <c r="G961" t="n">
        <v>1.1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s="2" t="inlineStr"/>
    </row>
    <row r="962" ht="15" customHeight="1">
      <c r="A962" t="inlineStr">
        <is>
          <t>A 18780-2019</t>
        </is>
      </c>
      <c r="B962" s="1" t="n">
        <v>43561</v>
      </c>
      <c r="C962" s="1" t="n">
        <v>45211</v>
      </c>
      <c r="D962" t="inlineStr">
        <is>
          <t>ÖSTERGÖTLANDS LÄN</t>
        </is>
      </c>
      <c r="E962" t="inlineStr">
        <is>
          <t>ÖDESHÖG</t>
        </is>
      </c>
      <c r="G962" t="n">
        <v>0.1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s="2" t="inlineStr"/>
    </row>
    <row r="963" ht="15" customHeight="1">
      <c r="A963" t="inlineStr">
        <is>
          <t>A 19040-2019</t>
        </is>
      </c>
      <c r="B963" s="1" t="n">
        <v>43563</v>
      </c>
      <c r="C963" s="1" t="n">
        <v>45211</v>
      </c>
      <c r="D963" t="inlineStr">
        <is>
          <t>ÖSTERGÖTLANDS LÄN</t>
        </is>
      </c>
      <c r="E963" t="inlineStr">
        <is>
          <t>VALDEMARSVIK</t>
        </is>
      </c>
      <c r="G963" t="n">
        <v>5.1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s="2" t="inlineStr"/>
    </row>
    <row r="964" ht="15" customHeight="1">
      <c r="A964" t="inlineStr">
        <is>
          <t>A 18907-2019</t>
        </is>
      </c>
      <c r="B964" s="1" t="n">
        <v>43563</v>
      </c>
      <c r="C964" s="1" t="n">
        <v>45211</v>
      </c>
      <c r="D964" t="inlineStr">
        <is>
          <t>ÖSTERGÖTLANDS LÄN</t>
        </is>
      </c>
      <c r="E964" t="inlineStr">
        <is>
          <t>KINDA</t>
        </is>
      </c>
      <c r="G964" t="n">
        <v>8.5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s="2" t="inlineStr"/>
    </row>
    <row r="965" ht="15" customHeight="1">
      <c r="A965" t="inlineStr">
        <is>
          <t>A 18970-2019</t>
        </is>
      </c>
      <c r="B965" s="1" t="n">
        <v>43563</v>
      </c>
      <c r="C965" s="1" t="n">
        <v>45211</v>
      </c>
      <c r="D965" t="inlineStr">
        <is>
          <t>ÖSTERGÖTLANDS LÄN</t>
        </is>
      </c>
      <c r="E965" t="inlineStr">
        <is>
          <t>NORRKÖPING</t>
        </is>
      </c>
      <c r="G965" t="n">
        <v>9.6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s="2" t="inlineStr"/>
    </row>
    <row r="966" ht="15" customHeight="1">
      <c r="A966" t="inlineStr">
        <is>
          <t>A 18954-2019</t>
        </is>
      </c>
      <c r="B966" s="1" t="n">
        <v>43563</v>
      </c>
      <c r="C966" s="1" t="n">
        <v>45211</v>
      </c>
      <c r="D966" t="inlineStr">
        <is>
          <t>ÖSTERGÖTLANDS LÄN</t>
        </is>
      </c>
      <c r="E966" t="inlineStr">
        <is>
          <t>SÖDERKÖPING</t>
        </is>
      </c>
      <c r="G966" t="n">
        <v>2.8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s="2" t="inlineStr"/>
    </row>
    <row r="967" ht="15" customHeight="1">
      <c r="A967" t="inlineStr">
        <is>
          <t>A 18998-2019</t>
        </is>
      </c>
      <c r="B967" s="1" t="n">
        <v>43563</v>
      </c>
      <c r="C967" s="1" t="n">
        <v>45211</v>
      </c>
      <c r="D967" t="inlineStr">
        <is>
          <t>ÖSTERGÖTLANDS LÄN</t>
        </is>
      </c>
      <c r="E967" t="inlineStr">
        <is>
          <t>LINKÖPING</t>
        </is>
      </c>
      <c r="G967" t="n">
        <v>0.8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s="2" t="inlineStr"/>
    </row>
    <row r="968" ht="15" customHeight="1">
      <c r="A968" t="inlineStr">
        <is>
          <t>A 18903-2019</t>
        </is>
      </c>
      <c r="B968" s="1" t="n">
        <v>43563</v>
      </c>
      <c r="C968" s="1" t="n">
        <v>45211</v>
      </c>
      <c r="D968" t="inlineStr">
        <is>
          <t>ÖSTERGÖTLANDS LÄN</t>
        </is>
      </c>
      <c r="E968" t="inlineStr">
        <is>
          <t>KINDA</t>
        </is>
      </c>
      <c r="G968" t="n">
        <v>1.4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s="2" t="inlineStr"/>
    </row>
    <row r="969" ht="15" customHeight="1">
      <c r="A969" t="inlineStr">
        <is>
          <t>A 19115-2019</t>
        </is>
      </c>
      <c r="B969" s="1" t="n">
        <v>43564</v>
      </c>
      <c r="C969" s="1" t="n">
        <v>45211</v>
      </c>
      <c r="D969" t="inlineStr">
        <is>
          <t>ÖSTERGÖTLANDS LÄN</t>
        </is>
      </c>
      <c r="E969" t="inlineStr">
        <is>
          <t>LINKÖPING</t>
        </is>
      </c>
      <c r="G969" t="n">
        <v>10.4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s="2" t="inlineStr"/>
    </row>
    <row r="970" ht="15" customHeight="1">
      <c r="A970" t="inlineStr">
        <is>
          <t>A 19218-2019</t>
        </is>
      </c>
      <c r="B970" s="1" t="n">
        <v>43564</v>
      </c>
      <c r="C970" s="1" t="n">
        <v>45211</v>
      </c>
      <c r="D970" t="inlineStr">
        <is>
          <t>ÖSTERGÖTLANDS LÄN</t>
        </is>
      </c>
      <c r="E970" t="inlineStr">
        <is>
          <t>MOTALA</t>
        </is>
      </c>
      <c r="G970" t="n">
        <v>4.7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s="2" t="inlineStr"/>
    </row>
    <row r="971" ht="15" customHeight="1">
      <c r="A971" t="inlineStr">
        <is>
          <t>A 19185-2019</t>
        </is>
      </c>
      <c r="B971" s="1" t="n">
        <v>43564</v>
      </c>
      <c r="C971" s="1" t="n">
        <v>45211</v>
      </c>
      <c r="D971" t="inlineStr">
        <is>
          <t>ÖSTERGÖTLANDS LÄN</t>
        </is>
      </c>
      <c r="E971" t="inlineStr">
        <is>
          <t>YDRE</t>
        </is>
      </c>
      <c r="G971" t="n">
        <v>1.5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s="2" t="inlineStr"/>
    </row>
    <row r="972" ht="15" customHeight="1">
      <c r="A972" t="inlineStr">
        <is>
          <t>A 19139-2019</t>
        </is>
      </c>
      <c r="B972" s="1" t="n">
        <v>43564</v>
      </c>
      <c r="C972" s="1" t="n">
        <v>45211</v>
      </c>
      <c r="D972" t="inlineStr">
        <is>
          <t>ÖSTERGÖTLANDS LÄN</t>
        </is>
      </c>
      <c r="E972" t="inlineStr">
        <is>
          <t>NORRKÖPING</t>
        </is>
      </c>
      <c r="F972" t="inlineStr">
        <is>
          <t>Allmännings- och besparingsskogar</t>
        </is>
      </c>
      <c r="G972" t="n">
        <v>5.6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s="2" t="inlineStr"/>
    </row>
    <row r="973" ht="15" customHeight="1">
      <c r="A973" t="inlineStr">
        <is>
          <t>A 19257-2019</t>
        </is>
      </c>
      <c r="B973" s="1" t="n">
        <v>43564</v>
      </c>
      <c r="C973" s="1" t="n">
        <v>45211</v>
      </c>
      <c r="D973" t="inlineStr">
        <is>
          <t>ÖSTERGÖTLANDS LÄN</t>
        </is>
      </c>
      <c r="E973" t="inlineStr">
        <is>
          <t>FINSPÅNG</t>
        </is>
      </c>
      <c r="G973" t="n">
        <v>2.4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s="2" t="inlineStr"/>
    </row>
    <row r="974" ht="15" customHeight="1">
      <c r="A974" t="inlineStr">
        <is>
          <t>A 19401-2019</t>
        </is>
      </c>
      <c r="B974" s="1" t="n">
        <v>43565</v>
      </c>
      <c r="C974" s="1" t="n">
        <v>45211</v>
      </c>
      <c r="D974" t="inlineStr">
        <is>
          <t>ÖSTERGÖTLANDS LÄN</t>
        </is>
      </c>
      <c r="E974" t="inlineStr">
        <is>
          <t>FINSPÅNG</t>
        </is>
      </c>
      <c r="G974" t="n">
        <v>0.5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s="2" t="inlineStr"/>
    </row>
    <row r="975" ht="15" customHeight="1">
      <c r="A975" t="inlineStr">
        <is>
          <t>A 19333-2019</t>
        </is>
      </c>
      <c r="B975" s="1" t="n">
        <v>43565</v>
      </c>
      <c r="C975" s="1" t="n">
        <v>45211</v>
      </c>
      <c r="D975" t="inlineStr">
        <is>
          <t>ÖSTERGÖTLANDS LÄN</t>
        </is>
      </c>
      <c r="E975" t="inlineStr">
        <is>
          <t>VADSTENA</t>
        </is>
      </c>
      <c r="G975" t="n">
        <v>1.3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s="2" t="inlineStr"/>
    </row>
    <row r="976" ht="15" customHeight="1">
      <c r="A976" t="inlineStr">
        <is>
          <t>A 19337-2019</t>
        </is>
      </c>
      <c r="B976" s="1" t="n">
        <v>43565</v>
      </c>
      <c r="C976" s="1" t="n">
        <v>45211</v>
      </c>
      <c r="D976" t="inlineStr">
        <is>
          <t>ÖSTERGÖTLANDS LÄN</t>
        </is>
      </c>
      <c r="E976" t="inlineStr">
        <is>
          <t>BOXHOLM</t>
        </is>
      </c>
      <c r="G976" t="n">
        <v>3.3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s="2" t="inlineStr"/>
    </row>
    <row r="977" ht="15" customHeight="1">
      <c r="A977" t="inlineStr">
        <is>
          <t>A 19628-2019</t>
        </is>
      </c>
      <c r="B977" s="1" t="n">
        <v>43566</v>
      </c>
      <c r="C977" s="1" t="n">
        <v>45211</v>
      </c>
      <c r="D977" t="inlineStr">
        <is>
          <t>ÖSTERGÖTLANDS LÄN</t>
        </is>
      </c>
      <c r="E977" t="inlineStr">
        <is>
          <t>MOTALA</t>
        </is>
      </c>
      <c r="G977" t="n">
        <v>5.4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s="2" t="inlineStr"/>
    </row>
    <row r="978" ht="15" customHeight="1">
      <c r="A978" t="inlineStr">
        <is>
          <t>A 19888-2019</t>
        </is>
      </c>
      <c r="B978" s="1" t="n">
        <v>43567</v>
      </c>
      <c r="C978" s="1" t="n">
        <v>45211</v>
      </c>
      <c r="D978" t="inlineStr">
        <is>
          <t>ÖSTERGÖTLANDS LÄN</t>
        </is>
      </c>
      <c r="E978" t="inlineStr">
        <is>
          <t>NORRKÖPING</t>
        </is>
      </c>
      <c r="F978" t="inlineStr">
        <is>
          <t>Holmen skog AB</t>
        </is>
      </c>
      <c r="G978" t="n">
        <v>0.4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s="2" t="inlineStr"/>
    </row>
    <row r="979" ht="15" customHeight="1">
      <c r="A979" t="inlineStr">
        <is>
          <t>A 20031-2019</t>
        </is>
      </c>
      <c r="B979" s="1" t="n">
        <v>43570</v>
      </c>
      <c r="C979" s="1" t="n">
        <v>45211</v>
      </c>
      <c r="D979" t="inlineStr">
        <is>
          <t>ÖSTERGÖTLANDS LÄN</t>
        </is>
      </c>
      <c r="E979" t="inlineStr">
        <is>
          <t>FINSPÅNG</t>
        </is>
      </c>
      <c r="G979" t="n">
        <v>1.5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s="2" t="inlineStr"/>
    </row>
    <row r="980" ht="15" customHeight="1">
      <c r="A980" t="inlineStr">
        <is>
          <t>A 20036-2019</t>
        </is>
      </c>
      <c r="B980" s="1" t="n">
        <v>43570</v>
      </c>
      <c r="C980" s="1" t="n">
        <v>45211</v>
      </c>
      <c r="D980" t="inlineStr">
        <is>
          <t>ÖSTERGÖTLANDS LÄN</t>
        </is>
      </c>
      <c r="E980" t="inlineStr">
        <is>
          <t>FINSPÅNG</t>
        </is>
      </c>
      <c r="F980" t="inlineStr">
        <is>
          <t>Holmen skog AB</t>
        </is>
      </c>
      <c r="G980" t="n">
        <v>1.2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s="2" t="inlineStr"/>
    </row>
    <row r="981" ht="15" customHeight="1">
      <c r="A981" t="inlineStr">
        <is>
          <t>A 20116-2019</t>
        </is>
      </c>
      <c r="B981" s="1" t="n">
        <v>43570</v>
      </c>
      <c r="C981" s="1" t="n">
        <v>45211</v>
      </c>
      <c r="D981" t="inlineStr">
        <is>
          <t>ÖSTERGÖTLANDS LÄN</t>
        </is>
      </c>
      <c r="E981" t="inlineStr">
        <is>
          <t>MOTALA</t>
        </is>
      </c>
      <c r="F981" t="inlineStr">
        <is>
          <t>Sveaskog</t>
        </is>
      </c>
      <c r="G981" t="n">
        <v>1.4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s="2" t="inlineStr"/>
    </row>
    <row r="982" ht="15" customHeight="1">
      <c r="A982" t="inlineStr">
        <is>
          <t>A 20142-2019</t>
        </is>
      </c>
      <c r="B982" s="1" t="n">
        <v>43570</v>
      </c>
      <c r="C982" s="1" t="n">
        <v>45211</v>
      </c>
      <c r="D982" t="inlineStr">
        <is>
          <t>ÖSTERGÖTLANDS LÄN</t>
        </is>
      </c>
      <c r="E982" t="inlineStr">
        <is>
          <t>VALDEMARSVIK</t>
        </is>
      </c>
      <c r="F982" t="inlineStr">
        <is>
          <t>Övriga Aktiebolag</t>
        </is>
      </c>
      <c r="G982" t="n">
        <v>4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s="2" t="inlineStr"/>
    </row>
    <row r="983" ht="15" customHeight="1">
      <c r="A983" t="inlineStr">
        <is>
          <t>A 20134-2019</t>
        </is>
      </c>
      <c r="B983" s="1" t="n">
        <v>43570</v>
      </c>
      <c r="C983" s="1" t="n">
        <v>45211</v>
      </c>
      <c r="D983" t="inlineStr">
        <is>
          <t>ÖSTERGÖTLANDS LÄN</t>
        </is>
      </c>
      <c r="E983" t="inlineStr">
        <is>
          <t>VALDEMARSVIK</t>
        </is>
      </c>
      <c r="F983" t="inlineStr">
        <is>
          <t>Övriga Aktiebolag</t>
        </is>
      </c>
      <c r="G983" t="n">
        <v>7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s="2" t="inlineStr"/>
    </row>
    <row r="984" ht="15" customHeight="1">
      <c r="A984" t="inlineStr">
        <is>
          <t>A 20296-2019</t>
        </is>
      </c>
      <c r="B984" s="1" t="n">
        <v>43571</v>
      </c>
      <c r="C984" s="1" t="n">
        <v>45211</v>
      </c>
      <c r="D984" t="inlineStr">
        <is>
          <t>ÖSTERGÖTLANDS LÄN</t>
        </is>
      </c>
      <c r="E984" t="inlineStr">
        <is>
          <t>FINSPÅNG</t>
        </is>
      </c>
      <c r="G984" t="n">
        <v>6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s="2" t="inlineStr"/>
    </row>
    <row r="985" ht="15" customHeight="1">
      <c r="A985" t="inlineStr">
        <is>
          <t>A 20707-2019</t>
        </is>
      </c>
      <c r="B985" s="1" t="n">
        <v>43573</v>
      </c>
      <c r="C985" s="1" t="n">
        <v>45211</v>
      </c>
      <c r="D985" t="inlineStr">
        <is>
          <t>ÖSTERGÖTLANDS LÄN</t>
        </is>
      </c>
      <c r="E985" t="inlineStr">
        <is>
          <t>KINDA</t>
        </is>
      </c>
      <c r="G985" t="n">
        <v>1.7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s="2" t="inlineStr"/>
    </row>
    <row r="986" ht="15" customHeight="1">
      <c r="A986" t="inlineStr">
        <is>
          <t>A 20713-2019</t>
        </is>
      </c>
      <c r="B986" s="1" t="n">
        <v>43573</v>
      </c>
      <c r="C986" s="1" t="n">
        <v>45211</v>
      </c>
      <c r="D986" t="inlineStr">
        <is>
          <t>ÖSTERGÖTLANDS LÄN</t>
        </is>
      </c>
      <c r="E986" t="inlineStr">
        <is>
          <t>ÅTVIDABERG</t>
        </is>
      </c>
      <c r="G986" t="n">
        <v>4.3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s="2" t="inlineStr"/>
    </row>
    <row r="987" ht="15" customHeight="1">
      <c r="A987" t="inlineStr">
        <is>
          <t>A 20782-2019</t>
        </is>
      </c>
      <c r="B987" s="1" t="n">
        <v>43573</v>
      </c>
      <c r="C987" s="1" t="n">
        <v>45211</v>
      </c>
      <c r="D987" t="inlineStr">
        <is>
          <t>ÖSTERGÖTLANDS LÄN</t>
        </is>
      </c>
      <c r="E987" t="inlineStr">
        <is>
          <t>MJÖLBY</t>
        </is>
      </c>
      <c r="G987" t="n">
        <v>0.8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s="2" t="inlineStr"/>
    </row>
    <row r="988" ht="15" customHeight="1">
      <c r="A988" t="inlineStr">
        <is>
          <t>A 20703-2019</t>
        </is>
      </c>
      <c r="B988" s="1" t="n">
        <v>43573</v>
      </c>
      <c r="C988" s="1" t="n">
        <v>45211</v>
      </c>
      <c r="D988" t="inlineStr">
        <is>
          <t>ÖSTERGÖTLANDS LÄN</t>
        </is>
      </c>
      <c r="E988" t="inlineStr">
        <is>
          <t>ÅTVIDABERG</t>
        </is>
      </c>
      <c r="G988" t="n">
        <v>1.1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s="2" t="inlineStr"/>
    </row>
    <row r="989" ht="15" customHeight="1">
      <c r="A989" t="inlineStr">
        <is>
          <t>A 20711-2019</t>
        </is>
      </c>
      <c r="B989" s="1" t="n">
        <v>43573</v>
      </c>
      <c r="C989" s="1" t="n">
        <v>45211</v>
      </c>
      <c r="D989" t="inlineStr">
        <is>
          <t>ÖSTERGÖTLANDS LÄN</t>
        </is>
      </c>
      <c r="E989" t="inlineStr">
        <is>
          <t>ÅTVIDABERG</t>
        </is>
      </c>
      <c r="G989" t="n">
        <v>2.6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s="2" t="inlineStr"/>
    </row>
    <row r="990" ht="15" customHeight="1">
      <c r="A990" t="inlineStr">
        <is>
          <t>A 20700-2019</t>
        </is>
      </c>
      <c r="B990" s="1" t="n">
        <v>43573</v>
      </c>
      <c r="C990" s="1" t="n">
        <v>45211</v>
      </c>
      <c r="D990" t="inlineStr">
        <is>
          <t>ÖSTERGÖTLANDS LÄN</t>
        </is>
      </c>
      <c r="E990" t="inlineStr">
        <is>
          <t>ÅTVIDABERG</t>
        </is>
      </c>
      <c r="G990" t="n">
        <v>2.5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s="2" t="inlineStr"/>
    </row>
    <row r="991" ht="15" customHeight="1">
      <c r="A991" t="inlineStr">
        <is>
          <t>A 20837-2019</t>
        </is>
      </c>
      <c r="B991" s="1" t="n">
        <v>43576</v>
      </c>
      <c r="C991" s="1" t="n">
        <v>45211</v>
      </c>
      <c r="D991" t="inlineStr">
        <is>
          <t>ÖSTERGÖTLANDS LÄN</t>
        </is>
      </c>
      <c r="E991" t="inlineStr">
        <is>
          <t>MOTALA</t>
        </is>
      </c>
      <c r="G991" t="n">
        <v>0.8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s="2" t="inlineStr"/>
    </row>
    <row r="992" ht="15" customHeight="1">
      <c r="A992" t="inlineStr">
        <is>
          <t>A 21038-2019</t>
        </is>
      </c>
      <c r="B992" s="1" t="n">
        <v>43578</v>
      </c>
      <c r="C992" s="1" t="n">
        <v>45211</v>
      </c>
      <c r="D992" t="inlineStr">
        <is>
          <t>ÖSTERGÖTLANDS LÄN</t>
        </is>
      </c>
      <c r="E992" t="inlineStr">
        <is>
          <t>KINDA</t>
        </is>
      </c>
      <c r="G992" t="n">
        <v>0.5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s="2" t="inlineStr"/>
    </row>
    <row r="993" ht="15" customHeight="1">
      <c r="A993" t="inlineStr">
        <is>
          <t>A 21309-2019</t>
        </is>
      </c>
      <c r="B993" s="1" t="n">
        <v>43579</v>
      </c>
      <c r="C993" s="1" t="n">
        <v>45211</v>
      </c>
      <c r="D993" t="inlineStr">
        <is>
          <t>ÖSTERGÖTLANDS LÄN</t>
        </is>
      </c>
      <c r="E993" t="inlineStr">
        <is>
          <t>KINDA</t>
        </is>
      </c>
      <c r="G993" t="n">
        <v>0.9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s="2" t="inlineStr"/>
    </row>
    <row r="994" ht="15" customHeight="1">
      <c r="A994" t="inlineStr">
        <is>
          <t>A 21351-2019</t>
        </is>
      </c>
      <c r="B994" s="1" t="n">
        <v>43579</v>
      </c>
      <c r="C994" s="1" t="n">
        <v>45211</v>
      </c>
      <c r="D994" t="inlineStr">
        <is>
          <t>ÖSTERGÖTLANDS LÄN</t>
        </is>
      </c>
      <c r="E994" t="inlineStr">
        <is>
          <t>FINSPÅNG</t>
        </is>
      </c>
      <c r="G994" t="n">
        <v>1.3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s="2" t="inlineStr"/>
    </row>
    <row r="995" ht="15" customHeight="1">
      <c r="A995" t="inlineStr">
        <is>
          <t>A 21378-2019</t>
        </is>
      </c>
      <c r="B995" s="1" t="n">
        <v>43579</v>
      </c>
      <c r="C995" s="1" t="n">
        <v>45211</v>
      </c>
      <c r="D995" t="inlineStr">
        <is>
          <t>ÖSTERGÖTLANDS LÄN</t>
        </is>
      </c>
      <c r="E995" t="inlineStr">
        <is>
          <t>KINDA</t>
        </is>
      </c>
      <c r="G995" t="n">
        <v>1.9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s="2" t="inlineStr"/>
    </row>
    <row r="996" ht="15" customHeight="1">
      <c r="A996" t="inlineStr">
        <is>
          <t>A 21425-2019</t>
        </is>
      </c>
      <c r="B996" s="1" t="n">
        <v>43580</v>
      </c>
      <c r="C996" s="1" t="n">
        <v>45211</v>
      </c>
      <c r="D996" t="inlineStr">
        <is>
          <t>ÖSTERGÖTLANDS LÄN</t>
        </is>
      </c>
      <c r="E996" t="inlineStr">
        <is>
          <t>KINDA</t>
        </is>
      </c>
      <c r="G996" t="n">
        <v>3.6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s="2" t="inlineStr"/>
    </row>
    <row r="997" ht="15" customHeight="1">
      <c r="A997" t="inlineStr">
        <is>
          <t>A 21869-2019</t>
        </is>
      </c>
      <c r="B997" s="1" t="n">
        <v>43584</v>
      </c>
      <c r="C997" s="1" t="n">
        <v>45211</v>
      </c>
      <c r="D997" t="inlineStr">
        <is>
          <t>ÖSTERGÖTLANDS LÄN</t>
        </is>
      </c>
      <c r="E997" t="inlineStr">
        <is>
          <t>KINDA</t>
        </is>
      </c>
      <c r="G997" t="n">
        <v>0.5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s="2" t="inlineStr"/>
    </row>
    <row r="998" ht="15" customHeight="1">
      <c r="A998" t="inlineStr">
        <is>
          <t>A 21865-2019</t>
        </is>
      </c>
      <c r="B998" s="1" t="n">
        <v>43584</v>
      </c>
      <c r="C998" s="1" t="n">
        <v>45211</v>
      </c>
      <c r="D998" t="inlineStr">
        <is>
          <t>ÖSTERGÖTLANDS LÄN</t>
        </is>
      </c>
      <c r="E998" t="inlineStr">
        <is>
          <t>KINDA</t>
        </is>
      </c>
      <c r="G998" t="n">
        <v>2.6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s="2" t="inlineStr"/>
    </row>
    <row r="999" ht="15" customHeight="1">
      <c r="A999" t="inlineStr">
        <is>
          <t>A 21966-2019</t>
        </is>
      </c>
      <c r="B999" s="1" t="n">
        <v>43584</v>
      </c>
      <c r="C999" s="1" t="n">
        <v>45211</v>
      </c>
      <c r="D999" t="inlineStr">
        <is>
          <t>ÖSTERGÖTLANDS LÄN</t>
        </is>
      </c>
      <c r="E999" t="inlineStr">
        <is>
          <t>FINSPÅNG</t>
        </is>
      </c>
      <c r="G999" t="n">
        <v>4.5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s="2" t="inlineStr"/>
    </row>
    <row r="1000" ht="15" customHeight="1">
      <c r="A1000" t="inlineStr">
        <is>
          <t>A 22133-2019</t>
        </is>
      </c>
      <c r="B1000" s="1" t="n">
        <v>43584</v>
      </c>
      <c r="C1000" s="1" t="n">
        <v>45211</v>
      </c>
      <c r="D1000" t="inlineStr">
        <is>
          <t>ÖSTERGÖTLANDS LÄN</t>
        </is>
      </c>
      <c r="E1000" t="inlineStr">
        <is>
          <t>NORRKÖPING</t>
        </is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s="2" t="inlineStr"/>
    </row>
    <row r="1001" ht="15" customHeight="1">
      <c r="A1001" t="inlineStr">
        <is>
          <t>A 22010-2019</t>
        </is>
      </c>
      <c r="B1001" s="1" t="n">
        <v>43584</v>
      </c>
      <c r="C1001" s="1" t="n">
        <v>45211</v>
      </c>
      <c r="D1001" t="inlineStr">
        <is>
          <t>ÖSTERGÖTLANDS LÄN</t>
        </is>
      </c>
      <c r="E1001" t="inlineStr">
        <is>
          <t>BOXHOLM</t>
        </is>
      </c>
      <c r="G1001" t="n">
        <v>5.7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s="2" t="inlineStr"/>
    </row>
    <row r="1002" ht="15" customHeight="1">
      <c r="A1002" t="inlineStr">
        <is>
          <t>A 22205-2019</t>
        </is>
      </c>
      <c r="B1002" s="1" t="n">
        <v>43585</v>
      </c>
      <c r="C1002" s="1" t="n">
        <v>45211</v>
      </c>
      <c r="D1002" t="inlineStr">
        <is>
          <t>ÖSTERGÖTLANDS LÄN</t>
        </is>
      </c>
      <c r="E1002" t="inlineStr">
        <is>
          <t>YDRE</t>
        </is>
      </c>
      <c r="G1002" t="n">
        <v>1.1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s="2" t="inlineStr"/>
    </row>
    <row r="1003" ht="15" customHeight="1">
      <c r="A1003" t="inlineStr">
        <is>
          <t>A 22553-2019</t>
        </is>
      </c>
      <c r="B1003" s="1" t="n">
        <v>43587</v>
      </c>
      <c r="C1003" s="1" t="n">
        <v>45211</v>
      </c>
      <c r="D1003" t="inlineStr">
        <is>
          <t>ÖSTERGÖTLANDS LÄN</t>
        </is>
      </c>
      <c r="E1003" t="inlineStr">
        <is>
          <t>BOXHOLM</t>
        </is>
      </c>
      <c r="G1003" t="n">
        <v>1.8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s="2" t="inlineStr"/>
    </row>
    <row r="1004" ht="15" customHeight="1">
      <c r="A1004" t="inlineStr">
        <is>
          <t>A 22578-2019</t>
        </is>
      </c>
      <c r="B1004" s="1" t="n">
        <v>43587</v>
      </c>
      <c r="C1004" s="1" t="n">
        <v>45211</v>
      </c>
      <c r="D1004" t="inlineStr">
        <is>
          <t>ÖSTERGÖTLANDS LÄN</t>
        </is>
      </c>
      <c r="E1004" t="inlineStr">
        <is>
          <t>YDRE</t>
        </is>
      </c>
      <c r="G1004" t="n">
        <v>2.4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s="2" t="inlineStr"/>
    </row>
    <row r="1005" ht="15" customHeight="1">
      <c r="A1005" t="inlineStr">
        <is>
          <t>A 22949-2019</t>
        </is>
      </c>
      <c r="B1005" s="1" t="n">
        <v>43587</v>
      </c>
      <c r="C1005" s="1" t="n">
        <v>45211</v>
      </c>
      <c r="D1005" t="inlineStr">
        <is>
          <t>ÖSTERGÖTLANDS LÄN</t>
        </is>
      </c>
      <c r="E1005" t="inlineStr">
        <is>
          <t>MOTALA</t>
        </is>
      </c>
      <c r="G1005" t="n">
        <v>7.6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s="2" t="inlineStr"/>
    </row>
    <row r="1006" ht="15" customHeight="1">
      <c r="A1006" t="inlineStr">
        <is>
          <t>A 22683-2019</t>
        </is>
      </c>
      <c r="B1006" s="1" t="n">
        <v>43588</v>
      </c>
      <c r="C1006" s="1" t="n">
        <v>45211</v>
      </c>
      <c r="D1006" t="inlineStr">
        <is>
          <t>ÖSTERGÖTLANDS LÄN</t>
        </is>
      </c>
      <c r="E1006" t="inlineStr">
        <is>
          <t>KINDA</t>
        </is>
      </c>
      <c r="G1006" t="n">
        <v>3.2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s="2" t="inlineStr"/>
    </row>
    <row r="1007" ht="15" customHeight="1">
      <c r="A1007" t="inlineStr">
        <is>
          <t>A 22699-2019</t>
        </is>
      </c>
      <c r="B1007" s="1" t="n">
        <v>43588</v>
      </c>
      <c r="C1007" s="1" t="n">
        <v>45211</v>
      </c>
      <c r="D1007" t="inlineStr">
        <is>
          <t>ÖSTERGÖTLANDS LÄN</t>
        </is>
      </c>
      <c r="E1007" t="inlineStr">
        <is>
          <t>NORRKÖPING</t>
        </is>
      </c>
      <c r="G1007" t="n">
        <v>3.1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s="2" t="inlineStr"/>
    </row>
    <row r="1008" ht="15" customHeight="1">
      <c r="A1008" t="inlineStr">
        <is>
          <t>A 22704-2019</t>
        </is>
      </c>
      <c r="B1008" s="1" t="n">
        <v>43588</v>
      </c>
      <c r="C1008" s="1" t="n">
        <v>45211</v>
      </c>
      <c r="D1008" t="inlineStr">
        <is>
          <t>ÖSTERGÖTLANDS LÄN</t>
        </is>
      </c>
      <c r="E1008" t="inlineStr">
        <is>
          <t>NORRKÖPING</t>
        </is>
      </c>
      <c r="G1008" t="n">
        <v>2.3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s="2" t="inlineStr"/>
    </row>
    <row r="1009" ht="15" customHeight="1">
      <c r="A1009" t="inlineStr">
        <is>
          <t>A 22633-2019</t>
        </is>
      </c>
      <c r="B1009" s="1" t="n">
        <v>43588</v>
      </c>
      <c r="C1009" s="1" t="n">
        <v>45211</v>
      </c>
      <c r="D1009" t="inlineStr">
        <is>
          <t>ÖSTERGÖTLANDS LÄN</t>
        </is>
      </c>
      <c r="E1009" t="inlineStr">
        <is>
          <t>LINKÖPING</t>
        </is>
      </c>
      <c r="G1009" t="n">
        <v>2.2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s="2" t="inlineStr"/>
    </row>
    <row r="1010" ht="15" customHeight="1">
      <c r="A1010" t="inlineStr">
        <is>
          <t>A 22793-2019</t>
        </is>
      </c>
      <c r="B1010" s="1" t="n">
        <v>43589</v>
      </c>
      <c r="C1010" s="1" t="n">
        <v>45211</v>
      </c>
      <c r="D1010" t="inlineStr">
        <is>
          <t>ÖSTERGÖTLANDS LÄN</t>
        </is>
      </c>
      <c r="E1010" t="inlineStr">
        <is>
          <t>KINDA</t>
        </is>
      </c>
      <c r="G1010" t="n">
        <v>2.6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s="2" t="inlineStr"/>
    </row>
    <row r="1011" ht="15" customHeight="1">
      <c r="A1011" t="inlineStr">
        <is>
          <t>A 22862-2019</t>
        </is>
      </c>
      <c r="B1011" s="1" t="n">
        <v>43591</v>
      </c>
      <c r="C1011" s="1" t="n">
        <v>45211</v>
      </c>
      <c r="D1011" t="inlineStr">
        <is>
          <t>ÖSTERGÖTLANDS LÄN</t>
        </is>
      </c>
      <c r="E1011" t="inlineStr">
        <is>
          <t>ÅTVIDABERG</t>
        </is>
      </c>
      <c r="F1011" t="inlineStr">
        <is>
          <t>Övriga Aktiebolag</t>
        </is>
      </c>
      <c r="G1011" t="n">
        <v>2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s="2" t="inlineStr"/>
    </row>
    <row r="1012" ht="15" customHeight="1">
      <c r="A1012" t="inlineStr">
        <is>
          <t>A 22831-2019</t>
        </is>
      </c>
      <c r="B1012" s="1" t="n">
        <v>43591</v>
      </c>
      <c r="C1012" s="1" t="n">
        <v>45211</v>
      </c>
      <c r="D1012" t="inlineStr">
        <is>
          <t>ÖSTERGÖTLANDS LÄN</t>
        </is>
      </c>
      <c r="E1012" t="inlineStr">
        <is>
          <t>ÖDESHÖG</t>
        </is>
      </c>
      <c r="G1012" t="n">
        <v>3.7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s="2" t="inlineStr"/>
    </row>
    <row r="1013" ht="15" customHeight="1">
      <c r="A1013" t="inlineStr">
        <is>
          <t>A 23027-2019</t>
        </is>
      </c>
      <c r="B1013" s="1" t="n">
        <v>43591</v>
      </c>
      <c r="C1013" s="1" t="n">
        <v>45211</v>
      </c>
      <c r="D1013" t="inlineStr">
        <is>
          <t>ÖSTERGÖTLANDS LÄN</t>
        </is>
      </c>
      <c r="E1013" t="inlineStr">
        <is>
          <t>NORRKÖPING</t>
        </is>
      </c>
      <c r="G1013" t="n">
        <v>3.1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s="2" t="inlineStr"/>
    </row>
    <row r="1014" ht="15" customHeight="1">
      <c r="A1014" t="inlineStr">
        <is>
          <t>A 23198-2019</t>
        </is>
      </c>
      <c r="B1014" s="1" t="n">
        <v>43592</v>
      </c>
      <c r="C1014" s="1" t="n">
        <v>45211</v>
      </c>
      <c r="D1014" t="inlineStr">
        <is>
          <t>ÖSTERGÖTLANDS LÄN</t>
        </is>
      </c>
      <c r="E1014" t="inlineStr">
        <is>
          <t>VALDEMARSVIK</t>
        </is>
      </c>
      <c r="G1014" t="n">
        <v>2.4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s="2" t="inlineStr"/>
    </row>
    <row r="1015" ht="15" customHeight="1">
      <c r="A1015" t="inlineStr">
        <is>
          <t>A 23358-2019</t>
        </is>
      </c>
      <c r="B1015" s="1" t="n">
        <v>43593</v>
      </c>
      <c r="C1015" s="1" t="n">
        <v>45211</v>
      </c>
      <c r="D1015" t="inlineStr">
        <is>
          <t>ÖSTERGÖTLANDS LÄN</t>
        </is>
      </c>
      <c r="E1015" t="inlineStr">
        <is>
          <t>FINSPÅNG</t>
        </is>
      </c>
      <c r="G1015" t="n">
        <v>3.2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s="2" t="inlineStr"/>
    </row>
    <row r="1016" ht="15" customHeight="1">
      <c r="A1016" t="inlineStr">
        <is>
          <t>A 23473-2019</t>
        </is>
      </c>
      <c r="B1016" s="1" t="n">
        <v>43593</v>
      </c>
      <c r="C1016" s="1" t="n">
        <v>45211</v>
      </c>
      <c r="D1016" t="inlineStr">
        <is>
          <t>ÖSTERGÖTLANDS LÄN</t>
        </is>
      </c>
      <c r="E1016" t="inlineStr">
        <is>
          <t>ÅTVIDABERG</t>
        </is>
      </c>
      <c r="F1016" t="inlineStr">
        <is>
          <t>Sveaskog</t>
        </is>
      </c>
      <c r="G1016" t="n">
        <v>1.7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s="2" t="inlineStr"/>
    </row>
    <row r="1017" ht="15" customHeight="1">
      <c r="A1017" t="inlineStr">
        <is>
          <t>A 23554-2019</t>
        </is>
      </c>
      <c r="B1017" s="1" t="n">
        <v>43593</v>
      </c>
      <c r="C1017" s="1" t="n">
        <v>45211</v>
      </c>
      <c r="D1017" t="inlineStr">
        <is>
          <t>ÖSTERGÖTLANDS LÄN</t>
        </is>
      </c>
      <c r="E1017" t="inlineStr">
        <is>
          <t>LINKÖPING</t>
        </is>
      </c>
      <c r="F1017" t="inlineStr">
        <is>
          <t>Kommuner</t>
        </is>
      </c>
      <c r="G1017" t="n">
        <v>3.1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s="2" t="inlineStr"/>
    </row>
    <row r="1018" ht="15" customHeight="1">
      <c r="A1018" t="inlineStr">
        <is>
          <t>A 23394-2019</t>
        </is>
      </c>
      <c r="B1018" s="1" t="n">
        <v>43593</v>
      </c>
      <c r="C1018" s="1" t="n">
        <v>45211</v>
      </c>
      <c r="D1018" t="inlineStr">
        <is>
          <t>ÖSTERGÖTLANDS LÄN</t>
        </is>
      </c>
      <c r="E1018" t="inlineStr">
        <is>
          <t>YDRE</t>
        </is>
      </c>
      <c r="F1018" t="inlineStr">
        <is>
          <t>Övriga Aktiebolag</t>
        </is>
      </c>
      <c r="G1018" t="n">
        <v>4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s="2" t="inlineStr"/>
    </row>
    <row r="1019" ht="15" customHeight="1">
      <c r="A1019" t="inlineStr">
        <is>
          <t>A 23367-2019</t>
        </is>
      </c>
      <c r="B1019" s="1" t="n">
        <v>43593</v>
      </c>
      <c r="C1019" s="1" t="n">
        <v>45211</v>
      </c>
      <c r="D1019" t="inlineStr">
        <is>
          <t>ÖSTERGÖTLANDS LÄN</t>
        </is>
      </c>
      <c r="E1019" t="inlineStr">
        <is>
          <t>KINDA</t>
        </is>
      </c>
      <c r="G1019" t="n">
        <v>2.2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s="2" t="inlineStr"/>
    </row>
    <row r="1020" ht="15" customHeight="1">
      <c r="A1020" t="inlineStr">
        <is>
          <t>A 23468-2019</t>
        </is>
      </c>
      <c r="B1020" s="1" t="n">
        <v>43593</v>
      </c>
      <c r="C1020" s="1" t="n">
        <v>45211</v>
      </c>
      <c r="D1020" t="inlineStr">
        <is>
          <t>ÖSTERGÖTLANDS LÄN</t>
        </is>
      </c>
      <c r="E1020" t="inlineStr">
        <is>
          <t>ÅTVIDABERG</t>
        </is>
      </c>
      <c r="F1020" t="inlineStr">
        <is>
          <t>Sveaskog</t>
        </is>
      </c>
      <c r="G1020" t="n">
        <v>1.3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s="2" t="inlineStr"/>
    </row>
    <row r="1021" ht="15" customHeight="1">
      <c r="A1021" t="inlineStr">
        <is>
          <t>A 23579-2019</t>
        </is>
      </c>
      <c r="B1021" s="1" t="n">
        <v>43593</v>
      </c>
      <c r="C1021" s="1" t="n">
        <v>45211</v>
      </c>
      <c r="D1021" t="inlineStr">
        <is>
          <t>ÖSTERGÖTLANDS LÄN</t>
        </is>
      </c>
      <c r="E1021" t="inlineStr">
        <is>
          <t>LINKÖPING</t>
        </is>
      </c>
      <c r="F1021" t="inlineStr">
        <is>
          <t>Kommuner</t>
        </is>
      </c>
      <c r="G1021" t="n">
        <v>0.6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s="2" t="inlineStr"/>
    </row>
    <row r="1022" ht="15" customHeight="1">
      <c r="A1022" t="inlineStr">
        <is>
          <t>A 23692-2019</t>
        </is>
      </c>
      <c r="B1022" s="1" t="n">
        <v>43594</v>
      </c>
      <c r="C1022" s="1" t="n">
        <v>45211</v>
      </c>
      <c r="D1022" t="inlineStr">
        <is>
          <t>ÖSTERGÖTLANDS LÄN</t>
        </is>
      </c>
      <c r="E1022" t="inlineStr">
        <is>
          <t>YDRE</t>
        </is>
      </c>
      <c r="G1022" t="n">
        <v>2.1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s="2" t="inlineStr"/>
    </row>
    <row r="1023" ht="15" customHeight="1">
      <c r="A1023" t="inlineStr">
        <is>
          <t>A 23593-2019</t>
        </is>
      </c>
      <c r="B1023" s="1" t="n">
        <v>43594</v>
      </c>
      <c r="C1023" s="1" t="n">
        <v>45211</v>
      </c>
      <c r="D1023" t="inlineStr">
        <is>
          <t>ÖSTERGÖTLANDS LÄN</t>
        </is>
      </c>
      <c r="E1023" t="inlineStr">
        <is>
          <t>KINDA</t>
        </is>
      </c>
      <c r="G1023" t="n">
        <v>1.5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s="2" t="inlineStr"/>
    </row>
    <row r="1024" ht="15" customHeight="1">
      <c r="A1024" t="inlineStr">
        <is>
          <t>A 23639-2019</t>
        </is>
      </c>
      <c r="B1024" s="1" t="n">
        <v>43594</v>
      </c>
      <c r="C1024" s="1" t="n">
        <v>45211</v>
      </c>
      <c r="D1024" t="inlineStr">
        <is>
          <t>ÖSTERGÖTLANDS LÄN</t>
        </is>
      </c>
      <c r="E1024" t="inlineStr">
        <is>
          <t>FINSPÅNG</t>
        </is>
      </c>
      <c r="F1024" t="inlineStr">
        <is>
          <t>Holmen skog AB</t>
        </is>
      </c>
      <c r="G1024" t="n">
        <v>1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s="2" t="inlineStr"/>
    </row>
    <row r="1025" ht="15" customHeight="1">
      <c r="A1025" t="inlineStr">
        <is>
          <t>A 23690-2019</t>
        </is>
      </c>
      <c r="B1025" s="1" t="n">
        <v>43594</v>
      </c>
      <c r="C1025" s="1" t="n">
        <v>45211</v>
      </c>
      <c r="D1025" t="inlineStr">
        <is>
          <t>ÖSTERGÖTLANDS LÄN</t>
        </is>
      </c>
      <c r="E1025" t="inlineStr">
        <is>
          <t>YDRE</t>
        </is>
      </c>
      <c r="G1025" t="n">
        <v>0.5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s="2" t="inlineStr"/>
    </row>
    <row r="1026" ht="15" customHeight="1">
      <c r="A1026" t="inlineStr">
        <is>
          <t>A 23765-2019</t>
        </is>
      </c>
      <c r="B1026" s="1" t="n">
        <v>43594</v>
      </c>
      <c r="C1026" s="1" t="n">
        <v>45211</v>
      </c>
      <c r="D1026" t="inlineStr">
        <is>
          <t>ÖSTERGÖTLANDS LÄN</t>
        </is>
      </c>
      <c r="E1026" t="inlineStr">
        <is>
          <t>ÖDESHÖG</t>
        </is>
      </c>
      <c r="G1026" t="n">
        <v>2.3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s="2" t="inlineStr"/>
    </row>
    <row r="1027" ht="15" customHeight="1">
      <c r="A1027" t="inlineStr">
        <is>
          <t>A 23761-2019</t>
        </is>
      </c>
      <c r="B1027" s="1" t="n">
        <v>43594</v>
      </c>
      <c r="C1027" s="1" t="n">
        <v>45211</v>
      </c>
      <c r="D1027" t="inlineStr">
        <is>
          <t>ÖSTERGÖTLANDS LÄN</t>
        </is>
      </c>
      <c r="E1027" t="inlineStr">
        <is>
          <t>ÖDESHÖG</t>
        </is>
      </c>
      <c r="G1027" t="n">
        <v>0.7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s="2" t="inlineStr"/>
    </row>
    <row r="1028" ht="15" customHeight="1">
      <c r="A1028" t="inlineStr">
        <is>
          <t>A 23872-2019</t>
        </is>
      </c>
      <c r="B1028" s="1" t="n">
        <v>43595</v>
      </c>
      <c r="C1028" s="1" t="n">
        <v>45211</v>
      </c>
      <c r="D1028" t="inlineStr">
        <is>
          <t>ÖSTERGÖTLANDS LÄN</t>
        </is>
      </c>
      <c r="E1028" t="inlineStr">
        <is>
          <t>YDRE</t>
        </is>
      </c>
      <c r="G1028" t="n">
        <v>4.8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s="2" t="inlineStr"/>
    </row>
    <row r="1029" ht="15" customHeight="1">
      <c r="A1029" t="inlineStr">
        <is>
          <t>A 23886-2019</t>
        </is>
      </c>
      <c r="B1029" s="1" t="n">
        <v>43595</v>
      </c>
      <c r="C1029" s="1" t="n">
        <v>45211</v>
      </c>
      <c r="D1029" t="inlineStr">
        <is>
          <t>ÖSTERGÖTLANDS LÄN</t>
        </is>
      </c>
      <c r="E1029" t="inlineStr">
        <is>
          <t>KINDA</t>
        </is>
      </c>
      <c r="G1029" t="n">
        <v>2.1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s="2" t="inlineStr"/>
    </row>
    <row r="1030" ht="15" customHeight="1">
      <c r="A1030" t="inlineStr">
        <is>
          <t>A 24056-2019</t>
        </is>
      </c>
      <c r="B1030" s="1" t="n">
        <v>43598</v>
      </c>
      <c r="C1030" s="1" t="n">
        <v>45211</v>
      </c>
      <c r="D1030" t="inlineStr">
        <is>
          <t>ÖSTERGÖTLANDS LÄN</t>
        </is>
      </c>
      <c r="E1030" t="inlineStr">
        <is>
          <t>NORRKÖPING</t>
        </is>
      </c>
      <c r="G1030" t="n">
        <v>2.2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s="2" t="inlineStr"/>
    </row>
    <row r="1031" ht="15" customHeight="1">
      <c r="A1031" t="inlineStr">
        <is>
          <t>A 24104-2019</t>
        </is>
      </c>
      <c r="B1031" s="1" t="n">
        <v>43598</v>
      </c>
      <c r="C1031" s="1" t="n">
        <v>45211</v>
      </c>
      <c r="D1031" t="inlineStr">
        <is>
          <t>ÖSTERGÖTLANDS LÄN</t>
        </is>
      </c>
      <c r="E1031" t="inlineStr">
        <is>
          <t>MJÖLBY</t>
        </is>
      </c>
      <c r="G1031" t="n">
        <v>3.3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s="2" t="inlineStr"/>
    </row>
    <row r="1032" ht="15" customHeight="1">
      <c r="A1032" t="inlineStr">
        <is>
          <t>A 24428-2019</t>
        </is>
      </c>
      <c r="B1032" s="1" t="n">
        <v>43598</v>
      </c>
      <c r="C1032" s="1" t="n">
        <v>45211</v>
      </c>
      <c r="D1032" t="inlineStr">
        <is>
          <t>ÖSTERGÖTLANDS LÄN</t>
        </is>
      </c>
      <c r="E1032" t="inlineStr">
        <is>
          <t>LINKÖPING</t>
        </is>
      </c>
      <c r="F1032" t="inlineStr">
        <is>
          <t>Kommuner</t>
        </is>
      </c>
      <c r="G1032" t="n">
        <v>1.3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s="2" t="inlineStr"/>
    </row>
    <row r="1033" ht="15" customHeight="1">
      <c r="A1033" t="inlineStr">
        <is>
          <t>A 24239-2019</t>
        </is>
      </c>
      <c r="B1033" s="1" t="n">
        <v>43599</v>
      </c>
      <c r="C1033" s="1" t="n">
        <v>45211</v>
      </c>
      <c r="D1033" t="inlineStr">
        <is>
          <t>ÖSTERGÖTLANDS LÄN</t>
        </is>
      </c>
      <c r="E1033" t="inlineStr">
        <is>
          <t>MJÖLBY</t>
        </is>
      </c>
      <c r="G1033" t="n">
        <v>0.4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s="2" t="inlineStr"/>
    </row>
    <row r="1034" ht="15" customHeight="1">
      <c r="A1034" t="inlineStr">
        <is>
          <t>A 24308-2019</t>
        </is>
      </c>
      <c r="B1034" s="1" t="n">
        <v>43599</v>
      </c>
      <c r="C1034" s="1" t="n">
        <v>45211</v>
      </c>
      <c r="D1034" t="inlineStr">
        <is>
          <t>ÖSTERGÖTLANDS LÄN</t>
        </is>
      </c>
      <c r="E1034" t="inlineStr">
        <is>
          <t>KINDA</t>
        </is>
      </c>
      <c r="F1034" t="inlineStr">
        <is>
          <t>Kommuner</t>
        </is>
      </c>
      <c r="G1034" t="n">
        <v>0.9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s="2" t="inlineStr"/>
    </row>
    <row r="1035" ht="15" customHeight="1">
      <c r="A1035" t="inlineStr">
        <is>
          <t>A 24554-2019</t>
        </is>
      </c>
      <c r="B1035" s="1" t="n">
        <v>43600</v>
      </c>
      <c r="C1035" s="1" t="n">
        <v>45211</v>
      </c>
      <c r="D1035" t="inlineStr">
        <is>
          <t>ÖSTERGÖTLANDS LÄN</t>
        </is>
      </c>
      <c r="E1035" t="inlineStr">
        <is>
          <t>FINSPÅNG</t>
        </is>
      </c>
      <c r="G1035" t="n">
        <v>3.4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s="2" t="inlineStr"/>
    </row>
    <row r="1036" ht="15" customHeight="1">
      <c r="A1036" t="inlineStr">
        <is>
          <t>A 24558-2019</t>
        </is>
      </c>
      <c r="B1036" s="1" t="n">
        <v>43600</v>
      </c>
      <c r="C1036" s="1" t="n">
        <v>45211</v>
      </c>
      <c r="D1036" t="inlineStr">
        <is>
          <t>ÖSTERGÖTLANDS LÄN</t>
        </is>
      </c>
      <c r="E1036" t="inlineStr">
        <is>
          <t>FINSPÅNG</t>
        </is>
      </c>
      <c r="G1036" t="n">
        <v>3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s="2" t="inlineStr"/>
    </row>
    <row r="1037" ht="15" customHeight="1">
      <c r="A1037" t="inlineStr">
        <is>
          <t>A 25203-2019</t>
        </is>
      </c>
      <c r="B1037" s="1" t="n">
        <v>43600</v>
      </c>
      <c r="C1037" s="1" t="n">
        <v>45211</v>
      </c>
      <c r="D1037" t="inlineStr">
        <is>
          <t>ÖSTERGÖTLANDS LÄN</t>
        </is>
      </c>
      <c r="E1037" t="inlineStr">
        <is>
          <t>KINDA</t>
        </is>
      </c>
      <c r="G1037" t="n">
        <v>4.6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s="2" t="inlineStr"/>
    </row>
    <row r="1038" ht="15" customHeight="1">
      <c r="A1038" t="inlineStr">
        <is>
          <t>A 24680-2019</t>
        </is>
      </c>
      <c r="B1038" s="1" t="n">
        <v>43601</v>
      </c>
      <c r="C1038" s="1" t="n">
        <v>45211</v>
      </c>
      <c r="D1038" t="inlineStr">
        <is>
          <t>ÖSTERGÖTLANDS LÄN</t>
        </is>
      </c>
      <c r="E1038" t="inlineStr">
        <is>
          <t>ÖDESHÖG</t>
        </is>
      </c>
      <c r="G1038" t="n">
        <v>2.6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s="2" t="inlineStr"/>
    </row>
    <row r="1039" ht="15" customHeight="1">
      <c r="A1039" t="inlineStr">
        <is>
          <t>A 24718-2019</t>
        </is>
      </c>
      <c r="B1039" s="1" t="n">
        <v>43601</v>
      </c>
      <c r="C1039" s="1" t="n">
        <v>45211</v>
      </c>
      <c r="D1039" t="inlineStr">
        <is>
          <t>ÖSTERGÖTLANDS LÄN</t>
        </is>
      </c>
      <c r="E1039" t="inlineStr">
        <is>
          <t>ÖDESHÖG</t>
        </is>
      </c>
      <c r="G1039" t="n">
        <v>0.4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s="2" t="inlineStr"/>
    </row>
    <row r="1040" ht="15" customHeight="1">
      <c r="A1040" t="inlineStr">
        <is>
          <t>A 24742-2019</t>
        </is>
      </c>
      <c r="B1040" s="1" t="n">
        <v>43601</v>
      </c>
      <c r="C1040" s="1" t="n">
        <v>45211</v>
      </c>
      <c r="D1040" t="inlineStr">
        <is>
          <t>ÖSTERGÖTLANDS LÄN</t>
        </is>
      </c>
      <c r="E1040" t="inlineStr">
        <is>
          <t>YDRE</t>
        </is>
      </c>
      <c r="G1040" t="n">
        <v>5.6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s="2" t="inlineStr"/>
    </row>
    <row r="1041" ht="15" customHeight="1">
      <c r="A1041" t="inlineStr">
        <is>
          <t>A 24936-2019</t>
        </is>
      </c>
      <c r="B1041" s="1" t="n">
        <v>43602</v>
      </c>
      <c r="C1041" s="1" t="n">
        <v>45211</v>
      </c>
      <c r="D1041" t="inlineStr">
        <is>
          <t>ÖSTERGÖTLANDS LÄN</t>
        </is>
      </c>
      <c r="E1041" t="inlineStr">
        <is>
          <t>KINDA</t>
        </is>
      </c>
      <c r="G1041" t="n">
        <v>1.8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s="2" t="inlineStr"/>
    </row>
    <row r="1042" ht="15" customHeight="1">
      <c r="A1042" t="inlineStr">
        <is>
          <t>A 24854-2019</t>
        </is>
      </c>
      <c r="B1042" s="1" t="n">
        <v>43602</v>
      </c>
      <c r="C1042" s="1" t="n">
        <v>45211</v>
      </c>
      <c r="D1042" t="inlineStr">
        <is>
          <t>ÖSTERGÖTLANDS LÄN</t>
        </is>
      </c>
      <c r="E1042" t="inlineStr">
        <is>
          <t>NORRKÖPING</t>
        </is>
      </c>
      <c r="G1042" t="n">
        <v>2.4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s="2" t="inlineStr"/>
    </row>
    <row r="1043" ht="15" customHeight="1">
      <c r="A1043" t="inlineStr">
        <is>
          <t>A 25079-2019</t>
        </is>
      </c>
      <c r="B1043" s="1" t="n">
        <v>43605</v>
      </c>
      <c r="C1043" s="1" t="n">
        <v>45211</v>
      </c>
      <c r="D1043" t="inlineStr">
        <is>
          <t>ÖSTERGÖTLANDS LÄN</t>
        </is>
      </c>
      <c r="E1043" t="inlineStr">
        <is>
          <t>YDRE</t>
        </is>
      </c>
      <c r="F1043" t="inlineStr">
        <is>
          <t>Övriga Aktiebolag</t>
        </is>
      </c>
      <c r="G1043" t="n">
        <v>3.6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s="2" t="inlineStr"/>
    </row>
    <row r="1044" ht="15" customHeight="1">
      <c r="A1044" t="inlineStr">
        <is>
          <t>A 25525-2019</t>
        </is>
      </c>
      <c r="B1044" s="1" t="n">
        <v>43606</v>
      </c>
      <c r="C1044" s="1" t="n">
        <v>45211</v>
      </c>
      <c r="D1044" t="inlineStr">
        <is>
          <t>ÖSTERGÖTLANDS LÄN</t>
        </is>
      </c>
      <c r="E1044" t="inlineStr">
        <is>
          <t>LINKÖPING</t>
        </is>
      </c>
      <c r="G1044" t="n">
        <v>1.3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s="2" t="inlineStr"/>
    </row>
    <row r="1045" ht="15" customHeight="1">
      <c r="A1045" t="inlineStr">
        <is>
          <t>A 26346-2019</t>
        </is>
      </c>
      <c r="B1045" s="1" t="n">
        <v>43606</v>
      </c>
      <c r="C1045" s="1" t="n">
        <v>45211</v>
      </c>
      <c r="D1045" t="inlineStr">
        <is>
          <t>ÖSTERGÖTLANDS LÄN</t>
        </is>
      </c>
      <c r="E1045" t="inlineStr">
        <is>
          <t>MJÖLBY</t>
        </is>
      </c>
      <c r="G1045" t="n">
        <v>2.8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s="2" t="inlineStr"/>
    </row>
    <row r="1046" ht="15" customHeight="1">
      <c r="A1046" t="inlineStr">
        <is>
          <t>A 25529-2019</t>
        </is>
      </c>
      <c r="B1046" s="1" t="n">
        <v>43606</v>
      </c>
      <c r="C1046" s="1" t="n">
        <v>45211</v>
      </c>
      <c r="D1046" t="inlineStr">
        <is>
          <t>ÖSTERGÖTLANDS LÄN</t>
        </is>
      </c>
      <c r="E1046" t="inlineStr">
        <is>
          <t>LINKÖPING</t>
        </is>
      </c>
      <c r="G1046" t="n">
        <v>7.1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s="2" t="inlineStr"/>
    </row>
    <row r="1047" ht="15" customHeight="1">
      <c r="A1047" t="inlineStr">
        <is>
          <t>A 26410-2019</t>
        </is>
      </c>
      <c r="B1047" s="1" t="n">
        <v>43606</v>
      </c>
      <c r="C1047" s="1" t="n">
        <v>45211</v>
      </c>
      <c r="D1047" t="inlineStr">
        <is>
          <t>ÖSTERGÖTLANDS LÄN</t>
        </is>
      </c>
      <c r="E1047" t="inlineStr">
        <is>
          <t>LINKÖPING</t>
        </is>
      </c>
      <c r="G1047" t="n">
        <v>3.2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s="2" t="inlineStr"/>
    </row>
    <row r="1048" ht="15" customHeight="1">
      <c r="A1048" t="inlineStr">
        <is>
          <t>A 25526-2019</t>
        </is>
      </c>
      <c r="B1048" s="1" t="n">
        <v>43606</v>
      </c>
      <c r="C1048" s="1" t="n">
        <v>45211</v>
      </c>
      <c r="D1048" t="inlineStr">
        <is>
          <t>ÖSTERGÖTLANDS LÄN</t>
        </is>
      </c>
      <c r="E1048" t="inlineStr">
        <is>
          <t>LINKÖPING</t>
        </is>
      </c>
      <c r="G1048" t="n">
        <v>5.7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s="2" t="inlineStr"/>
    </row>
    <row r="1049" ht="15" customHeight="1">
      <c r="A1049" t="inlineStr">
        <is>
          <t>A 25567-2019</t>
        </is>
      </c>
      <c r="B1049" s="1" t="n">
        <v>43607</v>
      </c>
      <c r="C1049" s="1" t="n">
        <v>45211</v>
      </c>
      <c r="D1049" t="inlineStr">
        <is>
          <t>ÖSTERGÖTLANDS LÄN</t>
        </is>
      </c>
      <c r="E1049" t="inlineStr">
        <is>
          <t>NORRKÖPING</t>
        </is>
      </c>
      <c r="G1049" t="n">
        <v>2.9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s="2" t="inlineStr"/>
    </row>
    <row r="1050" ht="15" customHeight="1">
      <c r="A1050" t="inlineStr">
        <is>
          <t>A 25639-2019</t>
        </is>
      </c>
      <c r="B1050" s="1" t="n">
        <v>43607</v>
      </c>
      <c r="C1050" s="1" t="n">
        <v>45211</v>
      </c>
      <c r="D1050" t="inlineStr">
        <is>
          <t>ÖSTERGÖTLANDS LÄN</t>
        </is>
      </c>
      <c r="E1050" t="inlineStr">
        <is>
          <t>ÖDESHÖG</t>
        </is>
      </c>
      <c r="G1050" t="n">
        <v>0.7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s="2" t="inlineStr"/>
    </row>
    <row r="1051" ht="15" customHeight="1">
      <c r="A1051" t="inlineStr">
        <is>
          <t>A 25820-2019</t>
        </is>
      </c>
      <c r="B1051" s="1" t="n">
        <v>43608</v>
      </c>
      <c r="C1051" s="1" t="n">
        <v>45211</v>
      </c>
      <c r="D1051" t="inlineStr">
        <is>
          <t>ÖSTERGÖTLANDS LÄN</t>
        </is>
      </c>
      <c r="E1051" t="inlineStr">
        <is>
          <t>KINDA</t>
        </is>
      </c>
      <c r="G1051" t="n">
        <v>4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s="2" t="inlineStr"/>
    </row>
    <row r="1052" ht="15" customHeight="1">
      <c r="A1052" t="inlineStr">
        <is>
          <t>A 25815-2019</t>
        </is>
      </c>
      <c r="B1052" s="1" t="n">
        <v>43608</v>
      </c>
      <c r="C1052" s="1" t="n">
        <v>45211</v>
      </c>
      <c r="D1052" t="inlineStr">
        <is>
          <t>ÖSTERGÖTLANDS LÄN</t>
        </is>
      </c>
      <c r="E1052" t="inlineStr">
        <is>
          <t>NORRKÖPING</t>
        </is>
      </c>
      <c r="G1052" t="n">
        <v>2.6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s="2" t="inlineStr"/>
    </row>
    <row r="1053" ht="15" customHeight="1">
      <c r="A1053" t="inlineStr">
        <is>
          <t>A 25853-2019</t>
        </is>
      </c>
      <c r="B1053" s="1" t="n">
        <v>43608</v>
      </c>
      <c r="C1053" s="1" t="n">
        <v>45211</v>
      </c>
      <c r="D1053" t="inlineStr">
        <is>
          <t>ÖSTERGÖTLANDS LÄN</t>
        </is>
      </c>
      <c r="E1053" t="inlineStr">
        <is>
          <t>YDRE</t>
        </is>
      </c>
      <c r="F1053" t="inlineStr">
        <is>
          <t>Övriga Aktiebolag</t>
        </is>
      </c>
      <c r="G1053" t="n">
        <v>4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s="2" t="inlineStr"/>
    </row>
    <row r="1054" ht="15" customHeight="1">
      <c r="A1054" t="inlineStr">
        <is>
          <t>A 25867-2019</t>
        </is>
      </c>
      <c r="B1054" s="1" t="n">
        <v>43608</v>
      </c>
      <c r="C1054" s="1" t="n">
        <v>45211</v>
      </c>
      <c r="D1054" t="inlineStr">
        <is>
          <t>ÖSTERGÖTLANDS LÄN</t>
        </is>
      </c>
      <c r="E1054" t="inlineStr">
        <is>
          <t>MOTALA</t>
        </is>
      </c>
      <c r="G1054" t="n">
        <v>4.7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s="2" t="inlineStr"/>
    </row>
    <row r="1055" ht="15" customHeight="1">
      <c r="A1055" t="inlineStr">
        <is>
          <t>A 25912-2019</t>
        </is>
      </c>
      <c r="B1055" s="1" t="n">
        <v>43608</v>
      </c>
      <c r="C1055" s="1" t="n">
        <v>45211</v>
      </c>
      <c r="D1055" t="inlineStr">
        <is>
          <t>ÖSTERGÖTLANDS LÄN</t>
        </is>
      </c>
      <c r="E1055" t="inlineStr">
        <is>
          <t>MOTALA</t>
        </is>
      </c>
      <c r="G1055" t="n">
        <v>2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s="2" t="inlineStr"/>
    </row>
    <row r="1056" ht="15" customHeight="1">
      <c r="A1056" t="inlineStr">
        <is>
          <t>A 26188-2019</t>
        </is>
      </c>
      <c r="B1056" s="1" t="n">
        <v>43609</v>
      </c>
      <c r="C1056" s="1" t="n">
        <v>45211</v>
      </c>
      <c r="D1056" t="inlineStr">
        <is>
          <t>ÖSTERGÖTLANDS LÄN</t>
        </is>
      </c>
      <c r="E1056" t="inlineStr">
        <is>
          <t>MOTALA</t>
        </is>
      </c>
      <c r="F1056" t="inlineStr">
        <is>
          <t>Sveaskog</t>
        </is>
      </c>
      <c r="G1056" t="n">
        <v>2.1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s="2" t="inlineStr"/>
    </row>
    <row r="1057" ht="15" customHeight="1">
      <c r="A1057" t="inlineStr">
        <is>
          <t>A 26199-2019</t>
        </is>
      </c>
      <c r="B1057" s="1" t="n">
        <v>43609</v>
      </c>
      <c r="C1057" s="1" t="n">
        <v>45211</v>
      </c>
      <c r="D1057" t="inlineStr">
        <is>
          <t>ÖSTERGÖTLANDS LÄN</t>
        </is>
      </c>
      <c r="E1057" t="inlineStr">
        <is>
          <t>MOTALA</t>
        </is>
      </c>
      <c r="F1057" t="inlineStr">
        <is>
          <t>Sveaskog</t>
        </is>
      </c>
      <c r="G1057" t="n">
        <v>0.7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s="2" t="inlineStr"/>
    </row>
    <row r="1058" ht="15" customHeight="1">
      <c r="A1058" t="inlineStr">
        <is>
          <t>A 26224-2019</t>
        </is>
      </c>
      <c r="B1058" s="1" t="n">
        <v>43609</v>
      </c>
      <c r="C1058" s="1" t="n">
        <v>45211</v>
      </c>
      <c r="D1058" t="inlineStr">
        <is>
          <t>ÖSTERGÖTLANDS LÄN</t>
        </is>
      </c>
      <c r="E1058" t="inlineStr">
        <is>
          <t>FINSPÅNG</t>
        </is>
      </c>
      <c r="G1058" t="n">
        <v>1.2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s="2" t="inlineStr"/>
    </row>
    <row r="1059" ht="15" customHeight="1">
      <c r="A1059" t="inlineStr">
        <is>
          <t>A 26185-2019</t>
        </is>
      </c>
      <c r="B1059" s="1" t="n">
        <v>43609</v>
      </c>
      <c r="C1059" s="1" t="n">
        <v>45211</v>
      </c>
      <c r="D1059" t="inlineStr">
        <is>
          <t>ÖSTERGÖTLANDS LÄN</t>
        </is>
      </c>
      <c r="E1059" t="inlineStr">
        <is>
          <t>MOTALA</t>
        </is>
      </c>
      <c r="F1059" t="inlineStr">
        <is>
          <t>Sveaskog</t>
        </is>
      </c>
      <c r="G1059" t="n">
        <v>2.9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s="2" t="inlineStr"/>
    </row>
    <row r="1060" ht="15" customHeight="1">
      <c r="A1060" t="inlineStr">
        <is>
          <t>A 26186-2019</t>
        </is>
      </c>
      <c r="B1060" s="1" t="n">
        <v>43609</v>
      </c>
      <c r="C1060" s="1" t="n">
        <v>45211</v>
      </c>
      <c r="D1060" t="inlineStr">
        <is>
          <t>ÖSTERGÖTLANDS LÄN</t>
        </is>
      </c>
      <c r="E1060" t="inlineStr">
        <is>
          <t>MOTALA</t>
        </is>
      </c>
      <c r="F1060" t="inlineStr">
        <is>
          <t>Sveaskog</t>
        </is>
      </c>
      <c r="G1060" t="n">
        <v>4.7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s="2" t="inlineStr"/>
    </row>
    <row r="1061" ht="15" customHeight="1">
      <c r="A1061" t="inlineStr">
        <is>
          <t>A 26195-2019</t>
        </is>
      </c>
      <c r="B1061" s="1" t="n">
        <v>43609</v>
      </c>
      <c r="C1061" s="1" t="n">
        <v>45211</v>
      </c>
      <c r="D1061" t="inlineStr">
        <is>
          <t>ÖSTERGÖTLANDS LÄN</t>
        </is>
      </c>
      <c r="E1061" t="inlineStr">
        <is>
          <t>MOTALA</t>
        </is>
      </c>
      <c r="F1061" t="inlineStr">
        <is>
          <t>Sveaskog</t>
        </is>
      </c>
      <c r="G1061" t="n">
        <v>2.7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s="2" t="inlineStr"/>
    </row>
    <row r="1062" ht="15" customHeight="1">
      <c r="A1062" t="inlineStr">
        <is>
          <t>A 26191-2019</t>
        </is>
      </c>
      <c r="B1062" s="1" t="n">
        <v>43609</v>
      </c>
      <c r="C1062" s="1" t="n">
        <v>45211</v>
      </c>
      <c r="D1062" t="inlineStr">
        <is>
          <t>ÖSTERGÖTLANDS LÄN</t>
        </is>
      </c>
      <c r="E1062" t="inlineStr">
        <is>
          <t>MOTALA</t>
        </is>
      </c>
      <c r="F1062" t="inlineStr">
        <is>
          <t>Sveaskog</t>
        </is>
      </c>
      <c r="G1062" t="n">
        <v>3.7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s="2" t="inlineStr"/>
    </row>
    <row r="1063" ht="15" customHeight="1">
      <c r="A1063" t="inlineStr">
        <is>
          <t>A 26225-2019</t>
        </is>
      </c>
      <c r="B1063" s="1" t="n">
        <v>43609</v>
      </c>
      <c r="C1063" s="1" t="n">
        <v>45211</v>
      </c>
      <c r="D1063" t="inlineStr">
        <is>
          <t>ÖSTERGÖTLANDS LÄN</t>
        </is>
      </c>
      <c r="E1063" t="inlineStr">
        <is>
          <t>FINSPÅNG</t>
        </is>
      </c>
      <c r="G1063" t="n">
        <v>1.2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s="2" t="inlineStr"/>
    </row>
    <row r="1064" ht="15" customHeight="1">
      <c r="A1064" t="inlineStr">
        <is>
          <t>A 26902-2019</t>
        </is>
      </c>
      <c r="B1064" s="1" t="n">
        <v>43609</v>
      </c>
      <c r="C1064" s="1" t="n">
        <v>45211</v>
      </c>
      <c r="D1064" t="inlineStr">
        <is>
          <t>ÖSTERGÖTLANDS LÄN</t>
        </is>
      </c>
      <c r="E1064" t="inlineStr">
        <is>
          <t>VALDEMARSVIK</t>
        </is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s="2" t="inlineStr"/>
    </row>
    <row r="1065" ht="15" customHeight="1">
      <c r="A1065" t="inlineStr">
        <is>
          <t>A 26261-2019</t>
        </is>
      </c>
      <c r="B1065" s="1" t="n">
        <v>43610</v>
      </c>
      <c r="C1065" s="1" t="n">
        <v>45211</v>
      </c>
      <c r="D1065" t="inlineStr">
        <is>
          <t>ÖSTERGÖTLANDS LÄN</t>
        </is>
      </c>
      <c r="E1065" t="inlineStr">
        <is>
          <t>LINKÖPING</t>
        </is>
      </c>
      <c r="G1065" t="n">
        <v>3.7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s="2" t="inlineStr"/>
    </row>
    <row r="1066" ht="15" customHeight="1">
      <c r="A1066" t="inlineStr">
        <is>
          <t>A 26283-2019</t>
        </is>
      </c>
      <c r="B1066" s="1" t="n">
        <v>43611</v>
      </c>
      <c r="C1066" s="1" t="n">
        <v>45211</v>
      </c>
      <c r="D1066" t="inlineStr">
        <is>
          <t>ÖSTERGÖTLANDS LÄN</t>
        </is>
      </c>
      <c r="E1066" t="inlineStr">
        <is>
          <t>NORRKÖPING</t>
        </is>
      </c>
      <c r="G1066" t="n">
        <v>6.9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s="2" t="inlineStr"/>
    </row>
    <row r="1067" ht="15" customHeight="1">
      <c r="A1067" t="inlineStr">
        <is>
          <t>A 26534-2019</t>
        </is>
      </c>
      <c r="B1067" s="1" t="n">
        <v>43612</v>
      </c>
      <c r="C1067" s="1" t="n">
        <v>45211</v>
      </c>
      <c r="D1067" t="inlineStr">
        <is>
          <t>ÖSTERGÖTLANDS LÄN</t>
        </is>
      </c>
      <c r="E1067" t="inlineStr">
        <is>
          <t>MOTALA</t>
        </is>
      </c>
      <c r="G1067" t="n">
        <v>2.2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s="2" t="inlineStr"/>
    </row>
    <row r="1068" ht="15" customHeight="1">
      <c r="A1068" t="inlineStr">
        <is>
          <t>A 26445-2019</t>
        </is>
      </c>
      <c r="B1068" s="1" t="n">
        <v>43612</v>
      </c>
      <c r="C1068" s="1" t="n">
        <v>45211</v>
      </c>
      <c r="D1068" t="inlineStr">
        <is>
          <t>ÖSTERGÖTLANDS LÄN</t>
        </is>
      </c>
      <c r="E1068" t="inlineStr">
        <is>
          <t>KINDA</t>
        </is>
      </c>
      <c r="G1068" t="n">
        <v>2.4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s="2" t="inlineStr"/>
    </row>
    <row r="1069" ht="15" customHeight="1">
      <c r="A1069" t="inlineStr">
        <is>
          <t>A 26604-2019</t>
        </is>
      </c>
      <c r="B1069" s="1" t="n">
        <v>43612</v>
      </c>
      <c r="C1069" s="1" t="n">
        <v>45211</v>
      </c>
      <c r="D1069" t="inlineStr">
        <is>
          <t>ÖSTERGÖTLANDS LÄN</t>
        </is>
      </c>
      <c r="E1069" t="inlineStr">
        <is>
          <t>KINDA</t>
        </is>
      </c>
      <c r="G1069" t="n">
        <v>1.3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s="2" t="inlineStr"/>
    </row>
    <row r="1070" ht="15" customHeight="1">
      <c r="A1070" t="inlineStr">
        <is>
          <t>A 26969-2019</t>
        </is>
      </c>
      <c r="B1070" s="1" t="n">
        <v>43614</v>
      </c>
      <c r="C1070" s="1" t="n">
        <v>45211</v>
      </c>
      <c r="D1070" t="inlineStr">
        <is>
          <t>ÖSTERGÖTLANDS LÄN</t>
        </is>
      </c>
      <c r="E1070" t="inlineStr">
        <is>
          <t>MJÖLBY</t>
        </is>
      </c>
      <c r="G1070" t="n">
        <v>0.3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s="2" t="inlineStr"/>
    </row>
    <row r="1071" ht="15" customHeight="1">
      <c r="A1071" t="inlineStr">
        <is>
          <t>A 28893-2019</t>
        </is>
      </c>
      <c r="B1071" s="1" t="n">
        <v>43616</v>
      </c>
      <c r="C1071" s="1" t="n">
        <v>45211</v>
      </c>
      <c r="D1071" t="inlineStr">
        <is>
          <t>ÖSTERGÖTLANDS LÄN</t>
        </is>
      </c>
      <c r="E1071" t="inlineStr">
        <is>
          <t>MJÖLBY</t>
        </is>
      </c>
      <c r="G1071" t="n">
        <v>1.5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s="2" t="inlineStr"/>
    </row>
    <row r="1072" ht="15" customHeight="1">
      <c r="A1072" t="inlineStr">
        <is>
          <t>A 27544-2019</t>
        </is>
      </c>
      <c r="B1072" s="1" t="n">
        <v>43616</v>
      </c>
      <c r="C1072" s="1" t="n">
        <v>45211</v>
      </c>
      <c r="D1072" t="inlineStr">
        <is>
          <t>ÖSTERGÖTLANDS LÄN</t>
        </is>
      </c>
      <c r="E1072" t="inlineStr">
        <is>
          <t>LINKÖPING</t>
        </is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s="2" t="inlineStr"/>
    </row>
    <row r="1073" ht="15" customHeight="1">
      <c r="A1073" t="inlineStr">
        <is>
          <t>A 28909-2019</t>
        </is>
      </c>
      <c r="B1073" s="1" t="n">
        <v>43619</v>
      </c>
      <c r="C1073" s="1" t="n">
        <v>45211</v>
      </c>
      <c r="D1073" t="inlineStr">
        <is>
          <t>ÖSTERGÖTLANDS LÄN</t>
        </is>
      </c>
      <c r="E1073" t="inlineStr">
        <is>
          <t>KINDA</t>
        </is>
      </c>
      <c r="G1073" t="n">
        <v>9.199999999999999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s="2" t="inlineStr"/>
    </row>
    <row r="1074" ht="15" customHeight="1">
      <c r="A1074" t="inlineStr">
        <is>
          <t>A 27687-2019</t>
        </is>
      </c>
      <c r="B1074" s="1" t="n">
        <v>43619</v>
      </c>
      <c r="C1074" s="1" t="n">
        <v>45211</v>
      </c>
      <c r="D1074" t="inlineStr">
        <is>
          <t>ÖSTERGÖTLANDS LÄN</t>
        </is>
      </c>
      <c r="E1074" t="inlineStr">
        <is>
          <t>LINKÖPING</t>
        </is>
      </c>
      <c r="G1074" t="n">
        <v>2.8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s="2" t="inlineStr"/>
    </row>
    <row r="1075" ht="15" customHeight="1">
      <c r="A1075" t="inlineStr">
        <is>
          <t>A 28914-2019</t>
        </is>
      </c>
      <c r="B1075" s="1" t="n">
        <v>43619</v>
      </c>
      <c r="C1075" s="1" t="n">
        <v>45211</v>
      </c>
      <c r="D1075" t="inlineStr">
        <is>
          <t>ÖSTERGÖTLANDS LÄN</t>
        </is>
      </c>
      <c r="E1075" t="inlineStr">
        <is>
          <t>KINDA</t>
        </is>
      </c>
      <c r="G1075" t="n">
        <v>1.8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s="2" t="inlineStr"/>
    </row>
    <row r="1076" ht="15" customHeight="1">
      <c r="A1076" t="inlineStr">
        <is>
          <t>A 27733-2019</t>
        </is>
      </c>
      <c r="B1076" s="1" t="n">
        <v>43619</v>
      </c>
      <c r="C1076" s="1" t="n">
        <v>45211</v>
      </c>
      <c r="D1076" t="inlineStr">
        <is>
          <t>ÖSTERGÖTLANDS LÄN</t>
        </is>
      </c>
      <c r="E1076" t="inlineStr">
        <is>
          <t>VALDEMARSVIK</t>
        </is>
      </c>
      <c r="F1076" t="inlineStr">
        <is>
          <t>Kommuner</t>
        </is>
      </c>
      <c r="G1076" t="n">
        <v>1.4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s="2" t="inlineStr"/>
    </row>
    <row r="1077" ht="15" customHeight="1">
      <c r="A1077" t="inlineStr">
        <is>
          <t>A 27727-2019</t>
        </is>
      </c>
      <c r="B1077" s="1" t="n">
        <v>43619</v>
      </c>
      <c r="C1077" s="1" t="n">
        <v>45211</v>
      </c>
      <c r="D1077" t="inlineStr">
        <is>
          <t>ÖSTERGÖTLANDS LÄN</t>
        </is>
      </c>
      <c r="E1077" t="inlineStr">
        <is>
          <t>MOTALA</t>
        </is>
      </c>
      <c r="G1077" t="n">
        <v>0.8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s="2" t="inlineStr"/>
    </row>
    <row r="1078" ht="15" customHeight="1">
      <c r="A1078" t="inlineStr">
        <is>
          <t>A 29019-2019</t>
        </is>
      </c>
      <c r="B1078" s="1" t="n">
        <v>43620</v>
      </c>
      <c r="C1078" s="1" t="n">
        <v>45211</v>
      </c>
      <c r="D1078" t="inlineStr">
        <is>
          <t>ÖSTERGÖTLANDS LÄN</t>
        </is>
      </c>
      <c r="E1078" t="inlineStr">
        <is>
          <t>ÅTVIDABERG</t>
        </is>
      </c>
      <c r="G1078" t="n">
        <v>3.9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s="2" t="inlineStr"/>
    </row>
    <row r="1079" ht="15" customHeight="1">
      <c r="A1079" t="inlineStr">
        <is>
          <t>A 28120-2019</t>
        </is>
      </c>
      <c r="B1079" s="1" t="n">
        <v>43621</v>
      </c>
      <c r="C1079" s="1" t="n">
        <v>45211</v>
      </c>
      <c r="D1079" t="inlineStr">
        <is>
          <t>ÖSTERGÖTLANDS LÄN</t>
        </is>
      </c>
      <c r="E1079" t="inlineStr">
        <is>
          <t>ÖDESHÖG</t>
        </is>
      </c>
      <c r="G1079" t="n">
        <v>7.6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s="2" t="inlineStr"/>
    </row>
    <row r="1080" ht="15" customHeight="1">
      <c r="A1080" t="inlineStr">
        <is>
          <t>A 28202-2019</t>
        </is>
      </c>
      <c r="B1080" s="1" t="n">
        <v>43621</v>
      </c>
      <c r="C1080" s="1" t="n">
        <v>45211</v>
      </c>
      <c r="D1080" t="inlineStr">
        <is>
          <t>ÖSTERGÖTLANDS LÄN</t>
        </is>
      </c>
      <c r="E1080" t="inlineStr">
        <is>
          <t>LINKÖPING</t>
        </is>
      </c>
      <c r="G1080" t="n">
        <v>3.3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s="2" t="inlineStr"/>
    </row>
    <row r="1081" ht="15" customHeight="1">
      <c r="A1081" t="inlineStr">
        <is>
          <t>A 28045-2019</t>
        </is>
      </c>
      <c r="B1081" s="1" t="n">
        <v>43621</v>
      </c>
      <c r="C1081" s="1" t="n">
        <v>45211</v>
      </c>
      <c r="D1081" t="inlineStr">
        <is>
          <t>ÖSTERGÖTLANDS LÄN</t>
        </is>
      </c>
      <c r="E1081" t="inlineStr">
        <is>
          <t>MOTALA</t>
        </is>
      </c>
      <c r="F1081" t="inlineStr">
        <is>
          <t>Sveaskog</t>
        </is>
      </c>
      <c r="G1081" t="n">
        <v>3.6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s="2" t="inlineStr"/>
    </row>
    <row r="1082" ht="15" customHeight="1">
      <c r="A1082" t="inlineStr">
        <is>
          <t>A 28117-2019</t>
        </is>
      </c>
      <c r="B1082" s="1" t="n">
        <v>43621</v>
      </c>
      <c r="C1082" s="1" t="n">
        <v>45211</v>
      </c>
      <c r="D1082" t="inlineStr">
        <is>
          <t>ÖSTERGÖTLANDS LÄN</t>
        </is>
      </c>
      <c r="E1082" t="inlineStr">
        <is>
          <t>ÖDESHÖG</t>
        </is>
      </c>
      <c r="G1082" t="n">
        <v>8.9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s="2" t="inlineStr"/>
    </row>
    <row r="1083" ht="15" customHeight="1">
      <c r="A1083" t="inlineStr">
        <is>
          <t>A 29218-2019</t>
        </is>
      </c>
      <c r="B1083" s="1" t="n">
        <v>43621</v>
      </c>
      <c r="C1083" s="1" t="n">
        <v>45211</v>
      </c>
      <c r="D1083" t="inlineStr">
        <is>
          <t>ÖSTERGÖTLANDS LÄN</t>
        </is>
      </c>
      <c r="E1083" t="inlineStr">
        <is>
          <t>KINDA</t>
        </is>
      </c>
      <c r="G1083" t="n">
        <v>1.5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s="2" t="inlineStr"/>
    </row>
    <row r="1084" ht="15" customHeight="1">
      <c r="A1084" t="inlineStr">
        <is>
          <t>A 28044-2019</t>
        </is>
      </c>
      <c r="B1084" s="1" t="n">
        <v>43621</v>
      </c>
      <c r="C1084" s="1" t="n">
        <v>45211</v>
      </c>
      <c r="D1084" t="inlineStr">
        <is>
          <t>ÖSTERGÖTLANDS LÄN</t>
        </is>
      </c>
      <c r="E1084" t="inlineStr">
        <is>
          <t>MOTALA</t>
        </is>
      </c>
      <c r="F1084" t="inlineStr">
        <is>
          <t>Sveaskog</t>
        </is>
      </c>
      <c r="G1084" t="n">
        <v>4.1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s="2" t="inlineStr"/>
    </row>
    <row r="1085" ht="15" customHeight="1">
      <c r="A1085" t="inlineStr">
        <is>
          <t>A 29215-2019</t>
        </is>
      </c>
      <c r="B1085" s="1" t="n">
        <v>43621</v>
      </c>
      <c r="C1085" s="1" t="n">
        <v>45211</v>
      </c>
      <c r="D1085" t="inlineStr">
        <is>
          <t>ÖSTERGÖTLANDS LÄN</t>
        </is>
      </c>
      <c r="E1085" t="inlineStr">
        <is>
          <t>KINDA</t>
        </is>
      </c>
      <c r="G1085" t="n">
        <v>4.5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s="2" t="inlineStr"/>
    </row>
    <row r="1086" ht="15" customHeight="1">
      <c r="A1086" t="inlineStr">
        <is>
          <t>A 28574-2019</t>
        </is>
      </c>
      <c r="B1086" s="1" t="n">
        <v>43626</v>
      </c>
      <c r="C1086" s="1" t="n">
        <v>45211</v>
      </c>
      <c r="D1086" t="inlineStr">
        <is>
          <t>ÖSTERGÖTLANDS LÄN</t>
        </is>
      </c>
      <c r="E1086" t="inlineStr">
        <is>
          <t>ÅTVIDABERG</t>
        </is>
      </c>
      <c r="G1086" t="n">
        <v>2.2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s="2" t="inlineStr"/>
    </row>
    <row r="1087" ht="15" customHeight="1">
      <c r="A1087" t="inlineStr">
        <is>
          <t>A 28491-2019</t>
        </is>
      </c>
      <c r="B1087" s="1" t="n">
        <v>43626</v>
      </c>
      <c r="C1087" s="1" t="n">
        <v>45211</v>
      </c>
      <c r="D1087" t="inlineStr">
        <is>
          <t>ÖSTERGÖTLANDS LÄN</t>
        </is>
      </c>
      <c r="E1087" t="inlineStr">
        <is>
          <t>YDRE</t>
        </is>
      </c>
      <c r="G1087" t="n">
        <v>2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s="2" t="inlineStr"/>
    </row>
    <row r="1088" ht="15" customHeight="1">
      <c r="A1088" t="inlineStr">
        <is>
          <t>A 28589-2019</t>
        </is>
      </c>
      <c r="B1088" s="1" t="n">
        <v>43626</v>
      </c>
      <c r="C1088" s="1" t="n">
        <v>45211</v>
      </c>
      <c r="D1088" t="inlineStr">
        <is>
          <t>ÖSTERGÖTLANDS LÄN</t>
        </is>
      </c>
      <c r="E1088" t="inlineStr">
        <is>
          <t>KINDA</t>
        </is>
      </c>
      <c r="G1088" t="n">
        <v>1.9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s="2" t="inlineStr"/>
    </row>
    <row r="1089" ht="15" customHeight="1">
      <c r="A1089" t="inlineStr">
        <is>
          <t>A 28597-2019</t>
        </is>
      </c>
      <c r="B1089" s="1" t="n">
        <v>43626</v>
      </c>
      <c r="C1089" s="1" t="n">
        <v>45211</v>
      </c>
      <c r="D1089" t="inlineStr">
        <is>
          <t>ÖSTERGÖTLANDS LÄN</t>
        </is>
      </c>
      <c r="E1089" t="inlineStr">
        <is>
          <t>ÅTVIDABERG</t>
        </is>
      </c>
      <c r="G1089" t="n">
        <v>1.1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s="2" t="inlineStr"/>
    </row>
    <row r="1090" ht="15" customHeight="1">
      <c r="A1090" t="inlineStr">
        <is>
          <t>A 28588-2019</t>
        </is>
      </c>
      <c r="B1090" s="1" t="n">
        <v>43626</v>
      </c>
      <c r="C1090" s="1" t="n">
        <v>45211</v>
      </c>
      <c r="D1090" t="inlineStr">
        <is>
          <t>ÖSTERGÖTLANDS LÄN</t>
        </is>
      </c>
      <c r="E1090" t="inlineStr">
        <is>
          <t>KINDA</t>
        </is>
      </c>
      <c r="G1090" t="n">
        <v>3.8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s="2" t="inlineStr"/>
    </row>
    <row r="1091" ht="15" customHeight="1">
      <c r="A1091" t="inlineStr">
        <is>
          <t>A 28645-2019</t>
        </is>
      </c>
      <c r="B1091" s="1" t="n">
        <v>43627</v>
      </c>
      <c r="C1091" s="1" t="n">
        <v>45211</v>
      </c>
      <c r="D1091" t="inlineStr">
        <is>
          <t>ÖSTERGÖTLANDS LÄN</t>
        </is>
      </c>
      <c r="E1091" t="inlineStr">
        <is>
          <t>FINSPÅNG</t>
        </is>
      </c>
      <c r="G1091" t="n">
        <v>5.8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s="2" t="inlineStr"/>
    </row>
    <row r="1092" ht="15" customHeight="1">
      <c r="A1092" t="inlineStr">
        <is>
          <t>A 29181-2019</t>
        </is>
      </c>
      <c r="B1092" s="1" t="n">
        <v>43628</v>
      </c>
      <c r="C1092" s="1" t="n">
        <v>45211</v>
      </c>
      <c r="D1092" t="inlineStr">
        <is>
          <t>ÖSTERGÖTLANDS LÄN</t>
        </is>
      </c>
      <c r="E1092" t="inlineStr">
        <is>
          <t>NORRKÖPING</t>
        </is>
      </c>
      <c r="G1092" t="n">
        <v>3.3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s="2" t="inlineStr"/>
    </row>
    <row r="1093" ht="15" customHeight="1">
      <c r="A1093" t="inlineStr">
        <is>
          <t>A 28990-2019</t>
        </is>
      </c>
      <c r="B1093" s="1" t="n">
        <v>43628</v>
      </c>
      <c r="C1093" s="1" t="n">
        <v>45211</v>
      </c>
      <c r="D1093" t="inlineStr">
        <is>
          <t>ÖSTERGÖTLANDS LÄN</t>
        </is>
      </c>
      <c r="E1093" t="inlineStr">
        <is>
          <t>FINSPÅNG</t>
        </is>
      </c>
      <c r="G1093" t="n">
        <v>5.8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s="2" t="inlineStr"/>
    </row>
    <row r="1094" ht="15" customHeight="1">
      <c r="A1094" t="inlineStr">
        <is>
          <t>A 28987-2019</t>
        </is>
      </c>
      <c r="B1094" s="1" t="n">
        <v>43628</v>
      </c>
      <c r="C1094" s="1" t="n">
        <v>45211</v>
      </c>
      <c r="D1094" t="inlineStr">
        <is>
          <t>ÖSTERGÖTLANDS LÄN</t>
        </is>
      </c>
      <c r="E1094" t="inlineStr">
        <is>
          <t>FINSPÅNG</t>
        </is>
      </c>
      <c r="G1094" t="n">
        <v>0.6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s="2" t="inlineStr"/>
    </row>
    <row r="1095" ht="15" customHeight="1">
      <c r="A1095" t="inlineStr">
        <is>
          <t>A 29086-2019</t>
        </is>
      </c>
      <c r="B1095" s="1" t="n">
        <v>43628</v>
      </c>
      <c r="C1095" s="1" t="n">
        <v>45211</v>
      </c>
      <c r="D1095" t="inlineStr">
        <is>
          <t>ÖSTERGÖTLANDS LÄN</t>
        </is>
      </c>
      <c r="E1095" t="inlineStr">
        <is>
          <t>YDRE</t>
        </is>
      </c>
      <c r="G1095" t="n">
        <v>6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s="2" t="inlineStr"/>
    </row>
    <row r="1096" ht="15" customHeight="1">
      <c r="A1096" t="inlineStr">
        <is>
          <t>A 29288-2019</t>
        </is>
      </c>
      <c r="B1096" s="1" t="n">
        <v>43629</v>
      </c>
      <c r="C1096" s="1" t="n">
        <v>45211</v>
      </c>
      <c r="D1096" t="inlineStr">
        <is>
          <t>ÖSTERGÖTLANDS LÄN</t>
        </is>
      </c>
      <c r="E1096" t="inlineStr">
        <is>
          <t>LINKÖPING</t>
        </is>
      </c>
      <c r="G1096" t="n">
        <v>1.6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s="2" t="inlineStr"/>
    </row>
    <row r="1097" ht="15" customHeight="1">
      <c r="A1097" t="inlineStr">
        <is>
          <t>A 29391-2019</t>
        </is>
      </c>
      <c r="B1097" s="1" t="n">
        <v>43629</v>
      </c>
      <c r="C1097" s="1" t="n">
        <v>45211</v>
      </c>
      <c r="D1097" t="inlineStr">
        <is>
          <t>ÖSTERGÖTLANDS LÄN</t>
        </is>
      </c>
      <c r="E1097" t="inlineStr">
        <is>
          <t>MOTALA</t>
        </is>
      </c>
      <c r="F1097" t="inlineStr">
        <is>
          <t>Kyrkan</t>
        </is>
      </c>
      <c r="G1097" t="n">
        <v>1.4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s="2" t="inlineStr"/>
    </row>
    <row r="1098" ht="15" customHeight="1">
      <c r="A1098" t="inlineStr">
        <is>
          <t>A 29444-2019</t>
        </is>
      </c>
      <c r="B1098" s="1" t="n">
        <v>43629</v>
      </c>
      <c r="C1098" s="1" t="n">
        <v>45211</v>
      </c>
      <c r="D1098" t="inlineStr">
        <is>
          <t>ÖSTERGÖTLANDS LÄN</t>
        </is>
      </c>
      <c r="E1098" t="inlineStr">
        <is>
          <t>FINSPÅNG</t>
        </is>
      </c>
      <c r="G1098" t="n">
        <v>0.9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s="2" t="inlineStr"/>
    </row>
    <row r="1099" ht="15" customHeight="1">
      <c r="A1099" t="inlineStr">
        <is>
          <t>A 29314-2019</t>
        </is>
      </c>
      <c r="B1099" s="1" t="n">
        <v>43629</v>
      </c>
      <c r="C1099" s="1" t="n">
        <v>45211</v>
      </c>
      <c r="D1099" t="inlineStr">
        <is>
          <t>ÖSTERGÖTLANDS LÄN</t>
        </is>
      </c>
      <c r="E1099" t="inlineStr">
        <is>
          <t>LINKÖPING</t>
        </is>
      </c>
      <c r="F1099" t="inlineStr">
        <is>
          <t>Allmännings- och besparingsskogar</t>
        </is>
      </c>
      <c r="G1099" t="n">
        <v>4.9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s="2" t="inlineStr"/>
    </row>
    <row r="1100" ht="15" customHeight="1">
      <c r="A1100" t="inlineStr">
        <is>
          <t>A 29364-2019</t>
        </is>
      </c>
      <c r="B1100" s="1" t="n">
        <v>43629</v>
      </c>
      <c r="C1100" s="1" t="n">
        <v>45211</v>
      </c>
      <c r="D1100" t="inlineStr">
        <is>
          <t>ÖSTERGÖTLANDS LÄN</t>
        </is>
      </c>
      <c r="E1100" t="inlineStr">
        <is>
          <t>LINKÖPING</t>
        </is>
      </c>
      <c r="F1100" t="inlineStr">
        <is>
          <t>Kyrkan</t>
        </is>
      </c>
      <c r="G1100" t="n">
        <v>6.1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s="2" t="inlineStr"/>
    </row>
    <row r="1101" ht="15" customHeight="1">
      <c r="A1101" t="inlineStr">
        <is>
          <t>A 29497-2019</t>
        </is>
      </c>
      <c r="B1101" s="1" t="n">
        <v>43630</v>
      </c>
      <c r="C1101" s="1" t="n">
        <v>45211</v>
      </c>
      <c r="D1101" t="inlineStr">
        <is>
          <t>ÖSTERGÖTLANDS LÄN</t>
        </is>
      </c>
      <c r="E1101" t="inlineStr">
        <is>
          <t>MOTALA</t>
        </is>
      </c>
      <c r="F1101" t="inlineStr">
        <is>
          <t>Sveaskog</t>
        </is>
      </c>
      <c r="G1101" t="n">
        <v>9.199999999999999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s="2" t="inlineStr"/>
    </row>
    <row r="1102" ht="15" customHeight="1">
      <c r="A1102" t="inlineStr">
        <is>
          <t>A 29735-2019</t>
        </is>
      </c>
      <c r="B1102" s="1" t="n">
        <v>43630</v>
      </c>
      <c r="C1102" s="1" t="n">
        <v>45211</v>
      </c>
      <c r="D1102" t="inlineStr">
        <is>
          <t>ÖSTERGÖTLANDS LÄN</t>
        </is>
      </c>
      <c r="E1102" t="inlineStr">
        <is>
          <t>ÖDESHÖG</t>
        </is>
      </c>
      <c r="G1102" t="n">
        <v>2.7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s="2" t="inlineStr"/>
    </row>
    <row r="1103" ht="15" customHeight="1">
      <c r="A1103" t="inlineStr">
        <is>
          <t>A 30134-2019</t>
        </is>
      </c>
      <c r="B1103" s="1" t="n">
        <v>43630</v>
      </c>
      <c r="C1103" s="1" t="n">
        <v>45211</v>
      </c>
      <c r="D1103" t="inlineStr">
        <is>
          <t>ÖSTERGÖTLANDS LÄN</t>
        </is>
      </c>
      <c r="E1103" t="inlineStr">
        <is>
          <t>YDRE</t>
        </is>
      </c>
      <c r="G1103" t="n">
        <v>7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s="2" t="inlineStr"/>
    </row>
    <row r="1104" ht="15" customHeight="1">
      <c r="A1104" t="inlineStr">
        <is>
          <t>A 29734-2019</t>
        </is>
      </c>
      <c r="B1104" s="1" t="n">
        <v>43630</v>
      </c>
      <c r="C1104" s="1" t="n">
        <v>45211</v>
      </c>
      <c r="D1104" t="inlineStr">
        <is>
          <t>ÖSTERGÖTLANDS LÄN</t>
        </is>
      </c>
      <c r="E1104" t="inlineStr">
        <is>
          <t>ÖDESHÖG</t>
        </is>
      </c>
      <c r="G1104" t="n">
        <v>2.1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s="2" t="inlineStr"/>
    </row>
    <row r="1105" ht="15" customHeight="1">
      <c r="A1105" t="inlineStr">
        <is>
          <t>A 30064-2019</t>
        </is>
      </c>
      <c r="B1105" s="1" t="n">
        <v>43633</v>
      </c>
      <c r="C1105" s="1" t="n">
        <v>45211</v>
      </c>
      <c r="D1105" t="inlineStr">
        <is>
          <t>ÖSTERGÖTLANDS LÄN</t>
        </is>
      </c>
      <c r="E1105" t="inlineStr">
        <is>
          <t>MOTALA</t>
        </is>
      </c>
      <c r="F1105" t="inlineStr">
        <is>
          <t>Övriga statliga verk och myndigheter</t>
        </is>
      </c>
      <c r="G1105" t="n">
        <v>5.9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s="2" t="inlineStr"/>
    </row>
    <row r="1106" ht="15" customHeight="1">
      <c r="A1106" t="inlineStr">
        <is>
          <t>A 30037-2019</t>
        </is>
      </c>
      <c r="B1106" s="1" t="n">
        <v>43633</v>
      </c>
      <c r="C1106" s="1" t="n">
        <v>45211</v>
      </c>
      <c r="D1106" t="inlineStr">
        <is>
          <t>ÖSTERGÖTLANDS LÄN</t>
        </is>
      </c>
      <c r="E1106" t="inlineStr">
        <is>
          <t>ÅTVIDABERG</t>
        </is>
      </c>
      <c r="F1106" t="inlineStr">
        <is>
          <t>Övriga Aktiebolag</t>
        </is>
      </c>
      <c r="G1106" t="n">
        <v>1.3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s="2" t="inlineStr"/>
    </row>
    <row r="1107" ht="15" customHeight="1">
      <c r="A1107" t="inlineStr">
        <is>
          <t>A 30063-2019</t>
        </is>
      </c>
      <c r="B1107" s="1" t="n">
        <v>43633</v>
      </c>
      <c r="C1107" s="1" t="n">
        <v>45211</v>
      </c>
      <c r="D1107" t="inlineStr">
        <is>
          <t>ÖSTERGÖTLANDS LÄN</t>
        </is>
      </c>
      <c r="E1107" t="inlineStr">
        <is>
          <t>MOTALA</t>
        </is>
      </c>
      <c r="F1107" t="inlineStr">
        <is>
          <t>Övriga statliga verk och myndigheter</t>
        </is>
      </c>
      <c r="G1107" t="n">
        <v>3.4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s="2" t="inlineStr"/>
    </row>
    <row r="1108" ht="15" customHeight="1">
      <c r="A1108" t="inlineStr">
        <is>
          <t>A 30068-2019</t>
        </is>
      </c>
      <c r="B1108" s="1" t="n">
        <v>43633</v>
      </c>
      <c r="C1108" s="1" t="n">
        <v>45211</v>
      </c>
      <c r="D1108" t="inlineStr">
        <is>
          <t>ÖSTERGÖTLANDS LÄN</t>
        </is>
      </c>
      <c r="E1108" t="inlineStr">
        <is>
          <t>LINKÖPING</t>
        </is>
      </c>
      <c r="F1108" t="inlineStr">
        <is>
          <t>Övriga statliga verk och myndigheter</t>
        </is>
      </c>
      <c r="G1108" t="n">
        <v>7.7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s="2" t="inlineStr"/>
    </row>
    <row r="1109" ht="15" customHeight="1">
      <c r="A1109" t="inlineStr">
        <is>
          <t>A 29966-2019</t>
        </is>
      </c>
      <c r="B1109" s="1" t="n">
        <v>43633</v>
      </c>
      <c r="C1109" s="1" t="n">
        <v>45211</v>
      </c>
      <c r="D1109" t="inlineStr">
        <is>
          <t>ÖSTERGÖTLANDS LÄN</t>
        </is>
      </c>
      <c r="E1109" t="inlineStr">
        <is>
          <t>MOTALA</t>
        </is>
      </c>
      <c r="G1109" t="n">
        <v>48.6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s="2" t="inlineStr"/>
    </row>
    <row r="1110" ht="15" customHeight="1">
      <c r="A1110" t="inlineStr">
        <is>
          <t>A 30067-2019</t>
        </is>
      </c>
      <c r="B1110" s="1" t="n">
        <v>43633</v>
      </c>
      <c r="C1110" s="1" t="n">
        <v>45211</v>
      </c>
      <c r="D1110" t="inlineStr">
        <is>
          <t>ÖSTERGÖTLANDS LÄN</t>
        </is>
      </c>
      <c r="E1110" t="inlineStr">
        <is>
          <t>LINKÖPING</t>
        </is>
      </c>
      <c r="F1110" t="inlineStr">
        <is>
          <t>Övriga statliga verk och myndigheter</t>
        </is>
      </c>
      <c r="G1110" t="n">
        <v>2.5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s="2" t="inlineStr"/>
    </row>
    <row r="1111" ht="15" customHeight="1">
      <c r="A1111" t="inlineStr">
        <is>
          <t>A 29972-2019</t>
        </is>
      </c>
      <c r="B1111" s="1" t="n">
        <v>43633</v>
      </c>
      <c r="C1111" s="1" t="n">
        <v>45211</v>
      </c>
      <c r="D1111" t="inlineStr">
        <is>
          <t>ÖSTERGÖTLANDS LÄN</t>
        </is>
      </c>
      <c r="E1111" t="inlineStr">
        <is>
          <t>MOTALA</t>
        </is>
      </c>
      <c r="G1111" t="n">
        <v>20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s="2" t="inlineStr"/>
    </row>
    <row r="1112" ht="15" customHeight="1">
      <c r="A1112" t="inlineStr">
        <is>
          <t>A 30066-2019</t>
        </is>
      </c>
      <c r="B1112" s="1" t="n">
        <v>43633</v>
      </c>
      <c r="C1112" s="1" t="n">
        <v>45211</v>
      </c>
      <c r="D1112" t="inlineStr">
        <is>
          <t>ÖSTERGÖTLANDS LÄN</t>
        </is>
      </c>
      <c r="E1112" t="inlineStr">
        <is>
          <t>MOTALA</t>
        </is>
      </c>
      <c r="F1112" t="inlineStr">
        <is>
          <t>Övriga statliga verk och myndigheter</t>
        </is>
      </c>
      <c r="G1112" t="n">
        <v>6.4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s="2" t="inlineStr"/>
    </row>
    <row r="1113" ht="15" customHeight="1">
      <c r="A1113" t="inlineStr">
        <is>
          <t>A 30361-2019</t>
        </is>
      </c>
      <c r="B1113" s="1" t="n">
        <v>43634</v>
      </c>
      <c r="C1113" s="1" t="n">
        <v>45211</v>
      </c>
      <c r="D1113" t="inlineStr">
        <is>
          <t>ÖSTERGÖTLANDS LÄN</t>
        </is>
      </c>
      <c r="E1113" t="inlineStr">
        <is>
          <t>KINDA</t>
        </is>
      </c>
      <c r="G1113" t="n">
        <v>1.4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s="2" t="inlineStr"/>
    </row>
    <row r="1114" ht="15" customHeight="1">
      <c r="A1114" t="inlineStr">
        <is>
          <t>A 30246-2019</t>
        </is>
      </c>
      <c r="B1114" s="1" t="n">
        <v>43634</v>
      </c>
      <c r="C1114" s="1" t="n">
        <v>45211</v>
      </c>
      <c r="D1114" t="inlineStr">
        <is>
          <t>ÖSTERGÖTLANDS LÄN</t>
        </is>
      </c>
      <c r="E1114" t="inlineStr">
        <is>
          <t>BOXHOLM</t>
        </is>
      </c>
      <c r="G1114" t="n">
        <v>1.5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s="2" t="inlineStr"/>
    </row>
    <row r="1115" ht="15" customHeight="1">
      <c r="A1115" t="inlineStr">
        <is>
          <t>A 30179-2019</t>
        </is>
      </c>
      <c r="B1115" s="1" t="n">
        <v>43634</v>
      </c>
      <c r="C1115" s="1" t="n">
        <v>45211</v>
      </c>
      <c r="D1115" t="inlineStr">
        <is>
          <t>ÖSTERGÖTLANDS LÄN</t>
        </is>
      </c>
      <c r="E1115" t="inlineStr">
        <is>
          <t>YDRE</t>
        </is>
      </c>
      <c r="G1115" t="n">
        <v>3.4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s="2" t="inlineStr"/>
    </row>
    <row r="1116" ht="15" customHeight="1">
      <c r="A1116" t="inlineStr">
        <is>
          <t>A 30356-2019</t>
        </is>
      </c>
      <c r="B1116" s="1" t="n">
        <v>43634</v>
      </c>
      <c r="C1116" s="1" t="n">
        <v>45211</v>
      </c>
      <c r="D1116" t="inlineStr">
        <is>
          <t>ÖSTERGÖTLANDS LÄN</t>
        </is>
      </c>
      <c r="E1116" t="inlineStr">
        <is>
          <t>KINDA</t>
        </is>
      </c>
      <c r="G1116" t="n">
        <v>2.7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s="2" t="inlineStr"/>
    </row>
    <row r="1117" ht="15" customHeight="1">
      <c r="A1117" t="inlineStr">
        <is>
          <t>A 30572-2019</t>
        </is>
      </c>
      <c r="B1117" s="1" t="n">
        <v>43635</v>
      </c>
      <c r="C1117" s="1" t="n">
        <v>45211</v>
      </c>
      <c r="D1117" t="inlineStr">
        <is>
          <t>ÖSTERGÖTLANDS LÄN</t>
        </is>
      </c>
      <c r="E1117" t="inlineStr">
        <is>
          <t>ÖDESHÖG</t>
        </is>
      </c>
      <c r="F1117" t="inlineStr">
        <is>
          <t>Allmännings- och besparingsskogar</t>
        </is>
      </c>
      <c r="G1117" t="n">
        <v>1.8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s="2" t="inlineStr"/>
    </row>
    <row r="1118" ht="15" customHeight="1">
      <c r="A1118" t="inlineStr">
        <is>
          <t>A 30553-2019</t>
        </is>
      </c>
      <c r="B1118" s="1" t="n">
        <v>43635</v>
      </c>
      <c r="C1118" s="1" t="n">
        <v>45211</v>
      </c>
      <c r="D1118" t="inlineStr">
        <is>
          <t>ÖSTERGÖTLANDS LÄN</t>
        </is>
      </c>
      <c r="E1118" t="inlineStr">
        <is>
          <t>ÖDESHÖG</t>
        </is>
      </c>
      <c r="F1118" t="inlineStr">
        <is>
          <t>Allmännings- och besparingsskogar</t>
        </is>
      </c>
      <c r="G1118" t="n">
        <v>8.6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s="2" t="inlineStr"/>
    </row>
    <row r="1119" ht="15" customHeight="1">
      <c r="A1119" t="inlineStr">
        <is>
          <t>A 30598-2019</t>
        </is>
      </c>
      <c r="B1119" s="1" t="n">
        <v>43635</v>
      </c>
      <c r="C1119" s="1" t="n">
        <v>45211</v>
      </c>
      <c r="D1119" t="inlineStr">
        <is>
          <t>ÖSTERGÖTLANDS LÄN</t>
        </is>
      </c>
      <c r="E1119" t="inlineStr">
        <is>
          <t>MOTALA</t>
        </is>
      </c>
      <c r="F1119" t="inlineStr">
        <is>
          <t>Övriga statliga verk och myndigheter</t>
        </is>
      </c>
      <c r="G1119" t="n">
        <v>7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s="2" t="inlineStr"/>
    </row>
    <row r="1120" ht="15" customHeight="1">
      <c r="A1120" t="inlineStr">
        <is>
          <t>A 30866-2019</t>
        </is>
      </c>
      <c r="B1120" s="1" t="n">
        <v>43636</v>
      </c>
      <c r="C1120" s="1" t="n">
        <v>45211</v>
      </c>
      <c r="D1120" t="inlineStr">
        <is>
          <t>ÖSTERGÖTLANDS LÄN</t>
        </is>
      </c>
      <c r="E1120" t="inlineStr">
        <is>
          <t>MJÖLBY</t>
        </is>
      </c>
      <c r="F1120" t="inlineStr">
        <is>
          <t>Sveaskog</t>
        </is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s="2" t="inlineStr"/>
    </row>
    <row r="1121" ht="15" customHeight="1">
      <c r="A1121" t="inlineStr">
        <is>
          <t>A 30831-2019</t>
        </is>
      </c>
      <c r="B1121" s="1" t="n">
        <v>43636</v>
      </c>
      <c r="C1121" s="1" t="n">
        <v>45211</v>
      </c>
      <c r="D1121" t="inlineStr">
        <is>
          <t>ÖSTERGÖTLANDS LÄN</t>
        </is>
      </c>
      <c r="E1121" t="inlineStr">
        <is>
          <t>KINDA</t>
        </is>
      </c>
      <c r="G1121" t="n">
        <v>3.9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s="2" t="inlineStr"/>
    </row>
    <row r="1122" ht="15" customHeight="1">
      <c r="A1122" t="inlineStr">
        <is>
          <t>A 30785-2019</t>
        </is>
      </c>
      <c r="B1122" s="1" t="n">
        <v>43636</v>
      </c>
      <c r="C1122" s="1" t="n">
        <v>45211</v>
      </c>
      <c r="D1122" t="inlineStr">
        <is>
          <t>ÖSTERGÖTLANDS LÄN</t>
        </is>
      </c>
      <c r="E1122" t="inlineStr">
        <is>
          <t>ÖDESHÖG</t>
        </is>
      </c>
      <c r="G1122" t="n">
        <v>3.8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s="2" t="inlineStr"/>
    </row>
    <row r="1123" ht="15" customHeight="1">
      <c r="A1123" t="inlineStr">
        <is>
          <t>A 31053-2019</t>
        </is>
      </c>
      <c r="B1123" s="1" t="n">
        <v>43636</v>
      </c>
      <c r="C1123" s="1" t="n">
        <v>45211</v>
      </c>
      <c r="D1123" t="inlineStr">
        <is>
          <t>ÖSTERGÖTLANDS LÄN</t>
        </is>
      </c>
      <c r="E1123" t="inlineStr">
        <is>
          <t>VALDEMARSVIK</t>
        </is>
      </c>
      <c r="G1123" t="n">
        <v>2.9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s="2" t="inlineStr"/>
    </row>
    <row r="1124" ht="15" customHeight="1">
      <c r="A1124" t="inlineStr">
        <is>
          <t>A 30998-2019</t>
        </is>
      </c>
      <c r="B1124" s="1" t="n">
        <v>43640</v>
      </c>
      <c r="C1124" s="1" t="n">
        <v>45211</v>
      </c>
      <c r="D1124" t="inlineStr">
        <is>
          <t>ÖSTERGÖTLANDS LÄN</t>
        </is>
      </c>
      <c r="E1124" t="inlineStr">
        <is>
          <t>NORRKÖPING</t>
        </is>
      </c>
      <c r="G1124" t="n">
        <v>2.3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s="2" t="inlineStr"/>
    </row>
    <row r="1125" ht="15" customHeight="1">
      <c r="A1125" t="inlineStr">
        <is>
          <t>A 31259-2019</t>
        </is>
      </c>
      <c r="B1125" s="1" t="n">
        <v>43640</v>
      </c>
      <c r="C1125" s="1" t="n">
        <v>45211</v>
      </c>
      <c r="D1125" t="inlineStr">
        <is>
          <t>ÖSTERGÖTLANDS LÄN</t>
        </is>
      </c>
      <c r="E1125" t="inlineStr">
        <is>
          <t>FINSPÅNG</t>
        </is>
      </c>
      <c r="F1125" t="inlineStr">
        <is>
          <t>Holmen skog AB</t>
        </is>
      </c>
      <c r="G1125" t="n">
        <v>1.2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s="2" t="inlineStr"/>
    </row>
    <row r="1126" ht="15" customHeight="1">
      <c r="A1126" t="inlineStr">
        <is>
          <t>A 31135-2019</t>
        </is>
      </c>
      <c r="B1126" s="1" t="n">
        <v>43640</v>
      </c>
      <c r="C1126" s="1" t="n">
        <v>45211</v>
      </c>
      <c r="D1126" t="inlineStr">
        <is>
          <t>ÖSTERGÖTLANDS LÄN</t>
        </is>
      </c>
      <c r="E1126" t="inlineStr">
        <is>
          <t>MOTALA</t>
        </is>
      </c>
      <c r="G1126" t="n">
        <v>4.5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s="2" t="inlineStr"/>
    </row>
    <row r="1127" ht="15" customHeight="1">
      <c r="A1127" t="inlineStr">
        <is>
          <t>A 31347-2019</t>
        </is>
      </c>
      <c r="B1127" s="1" t="n">
        <v>43641</v>
      </c>
      <c r="C1127" s="1" t="n">
        <v>45211</v>
      </c>
      <c r="D1127" t="inlineStr">
        <is>
          <t>ÖSTERGÖTLANDS LÄN</t>
        </is>
      </c>
      <c r="E1127" t="inlineStr">
        <is>
          <t>MJÖLBY</t>
        </is>
      </c>
      <c r="G1127" t="n">
        <v>0.5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s="2" t="inlineStr"/>
    </row>
    <row r="1128" ht="15" customHeight="1">
      <c r="A1128" t="inlineStr">
        <is>
          <t>A 31487-2019</t>
        </is>
      </c>
      <c r="B1128" s="1" t="n">
        <v>43641</v>
      </c>
      <c r="C1128" s="1" t="n">
        <v>45211</v>
      </c>
      <c r="D1128" t="inlineStr">
        <is>
          <t>ÖSTERGÖTLANDS LÄN</t>
        </is>
      </c>
      <c r="E1128" t="inlineStr">
        <is>
          <t>LINKÖPING</t>
        </is>
      </c>
      <c r="F1128" t="inlineStr">
        <is>
          <t>Övriga statliga verk och myndigheter</t>
        </is>
      </c>
      <c r="G1128" t="n">
        <v>1.9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s="2" t="inlineStr"/>
    </row>
    <row r="1129" ht="15" customHeight="1">
      <c r="A1129" t="inlineStr">
        <is>
          <t>A 31967-2019</t>
        </is>
      </c>
      <c r="B1129" s="1" t="n">
        <v>43642</v>
      </c>
      <c r="C1129" s="1" t="n">
        <v>45211</v>
      </c>
      <c r="D1129" t="inlineStr">
        <is>
          <t>ÖSTERGÖTLANDS LÄN</t>
        </is>
      </c>
      <c r="E1129" t="inlineStr">
        <is>
          <t>MOTALA</t>
        </is>
      </c>
      <c r="G1129" t="n">
        <v>0.6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s="2" t="inlineStr"/>
    </row>
    <row r="1130" ht="15" customHeight="1">
      <c r="A1130" t="inlineStr">
        <is>
          <t>A 32174-2019</t>
        </is>
      </c>
      <c r="B1130" s="1" t="n">
        <v>43643</v>
      </c>
      <c r="C1130" s="1" t="n">
        <v>45211</v>
      </c>
      <c r="D1130" t="inlineStr">
        <is>
          <t>ÖSTERGÖTLANDS LÄN</t>
        </is>
      </c>
      <c r="E1130" t="inlineStr">
        <is>
          <t>MJÖLBY</t>
        </is>
      </c>
      <c r="G1130" t="n">
        <v>2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s="2" t="inlineStr"/>
    </row>
    <row r="1131" ht="15" customHeight="1">
      <c r="A1131" t="inlineStr">
        <is>
          <t>A 32036-2019</t>
        </is>
      </c>
      <c r="B1131" s="1" t="n">
        <v>43643</v>
      </c>
      <c r="C1131" s="1" t="n">
        <v>45211</v>
      </c>
      <c r="D1131" t="inlineStr">
        <is>
          <t>ÖSTERGÖTLANDS LÄN</t>
        </is>
      </c>
      <c r="E1131" t="inlineStr">
        <is>
          <t>MOTALA</t>
        </is>
      </c>
      <c r="G1131" t="n">
        <v>0.5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s="2" t="inlineStr"/>
    </row>
    <row r="1132" ht="15" customHeight="1">
      <c r="A1132" t="inlineStr">
        <is>
          <t>A 32435-2019</t>
        </is>
      </c>
      <c r="B1132" s="1" t="n">
        <v>43644</v>
      </c>
      <c r="C1132" s="1" t="n">
        <v>45211</v>
      </c>
      <c r="D1132" t="inlineStr">
        <is>
          <t>ÖSTERGÖTLANDS LÄN</t>
        </is>
      </c>
      <c r="E1132" t="inlineStr">
        <is>
          <t>MJÖLBY</t>
        </is>
      </c>
      <c r="G1132" t="n">
        <v>1.5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s="2" t="inlineStr"/>
    </row>
    <row r="1133" ht="15" customHeight="1">
      <c r="A1133" t="inlineStr">
        <is>
          <t>A 33294-2019</t>
        </is>
      </c>
      <c r="B1133" s="1" t="n">
        <v>43644</v>
      </c>
      <c r="C1133" s="1" t="n">
        <v>45211</v>
      </c>
      <c r="D1133" t="inlineStr">
        <is>
          <t>ÖSTERGÖTLANDS LÄN</t>
        </is>
      </c>
      <c r="E1133" t="inlineStr">
        <is>
          <t>MOTALA</t>
        </is>
      </c>
      <c r="G1133" t="n">
        <v>1.6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s="2" t="inlineStr"/>
    </row>
    <row r="1134" ht="15" customHeight="1">
      <c r="A1134" t="inlineStr">
        <is>
          <t>A 32300-2019</t>
        </is>
      </c>
      <c r="B1134" s="1" t="n">
        <v>43644</v>
      </c>
      <c r="C1134" s="1" t="n">
        <v>45211</v>
      </c>
      <c r="D1134" t="inlineStr">
        <is>
          <t>ÖSTERGÖTLANDS LÄN</t>
        </is>
      </c>
      <c r="E1134" t="inlineStr">
        <is>
          <t>KINDA</t>
        </is>
      </c>
      <c r="G1134" t="n">
        <v>0.5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s="2" t="inlineStr"/>
    </row>
    <row r="1135" ht="15" customHeight="1">
      <c r="A1135" t="inlineStr">
        <is>
          <t>A 32292-2019</t>
        </is>
      </c>
      <c r="B1135" s="1" t="n">
        <v>43644</v>
      </c>
      <c r="C1135" s="1" t="n">
        <v>45211</v>
      </c>
      <c r="D1135" t="inlineStr">
        <is>
          <t>ÖSTERGÖTLANDS LÄN</t>
        </is>
      </c>
      <c r="E1135" t="inlineStr">
        <is>
          <t>NORRKÖPING</t>
        </is>
      </c>
      <c r="G1135" t="n">
        <v>1.1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s="2" t="inlineStr"/>
    </row>
    <row r="1136" ht="15" customHeight="1">
      <c r="A1136" t="inlineStr">
        <is>
          <t>A 32407-2019</t>
        </is>
      </c>
      <c r="B1136" s="1" t="n">
        <v>43644</v>
      </c>
      <c r="C1136" s="1" t="n">
        <v>45211</v>
      </c>
      <c r="D1136" t="inlineStr">
        <is>
          <t>ÖSTERGÖTLANDS LÄN</t>
        </is>
      </c>
      <c r="E1136" t="inlineStr">
        <is>
          <t>MJÖLBY</t>
        </is>
      </c>
      <c r="G1136" t="n">
        <v>2.8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s="2" t="inlineStr"/>
    </row>
    <row r="1137" ht="15" customHeight="1">
      <c r="A1137" t="inlineStr">
        <is>
          <t>A 32614-2019</t>
        </is>
      </c>
      <c r="B1137" s="1" t="n">
        <v>43647</v>
      </c>
      <c r="C1137" s="1" t="n">
        <v>45211</v>
      </c>
      <c r="D1137" t="inlineStr">
        <is>
          <t>ÖSTERGÖTLANDS LÄN</t>
        </is>
      </c>
      <c r="E1137" t="inlineStr">
        <is>
          <t>KINDA</t>
        </is>
      </c>
      <c r="G1137" t="n">
        <v>4.5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s="2" t="inlineStr"/>
    </row>
    <row r="1138" ht="15" customHeight="1">
      <c r="A1138" t="inlineStr">
        <is>
          <t>A 32626-2019</t>
        </is>
      </c>
      <c r="B1138" s="1" t="n">
        <v>43647</v>
      </c>
      <c r="C1138" s="1" t="n">
        <v>45211</v>
      </c>
      <c r="D1138" t="inlineStr">
        <is>
          <t>ÖSTERGÖTLANDS LÄN</t>
        </is>
      </c>
      <c r="E1138" t="inlineStr">
        <is>
          <t>KINDA</t>
        </is>
      </c>
      <c r="G1138" t="n">
        <v>0.8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s="2" t="inlineStr"/>
    </row>
    <row r="1139" ht="15" customHeight="1">
      <c r="A1139" t="inlineStr">
        <is>
          <t>A 32667-2019</t>
        </is>
      </c>
      <c r="B1139" s="1" t="n">
        <v>43647</v>
      </c>
      <c r="C1139" s="1" t="n">
        <v>45211</v>
      </c>
      <c r="D1139" t="inlineStr">
        <is>
          <t>ÖSTERGÖTLANDS LÄN</t>
        </is>
      </c>
      <c r="E1139" t="inlineStr">
        <is>
          <t>BOXHOLM</t>
        </is>
      </c>
      <c r="G1139" t="n">
        <v>9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s="2" t="inlineStr"/>
    </row>
    <row r="1140" ht="15" customHeight="1">
      <c r="A1140" t="inlineStr">
        <is>
          <t>A 32656-2019</t>
        </is>
      </c>
      <c r="B1140" s="1" t="n">
        <v>43647</v>
      </c>
      <c r="C1140" s="1" t="n">
        <v>45211</v>
      </c>
      <c r="D1140" t="inlineStr">
        <is>
          <t>ÖSTERGÖTLANDS LÄN</t>
        </is>
      </c>
      <c r="E1140" t="inlineStr">
        <is>
          <t>YDRE</t>
        </is>
      </c>
      <c r="G1140" t="n">
        <v>1.7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s="2" t="inlineStr"/>
    </row>
    <row r="1141" ht="15" customHeight="1">
      <c r="A1141" t="inlineStr">
        <is>
          <t>A 33130-2019</t>
        </is>
      </c>
      <c r="B1141" s="1" t="n">
        <v>43649</v>
      </c>
      <c r="C1141" s="1" t="n">
        <v>45211</v>
      </c>
      <c r="D1141" t="inlineStr">
        <is>
          <t>ÖSTERGÖTLANDS LÄN</t>
        </is>
      </c>
      <c r="E1141" t="inlineStr">
        <is>
          <t>KINDA</t>
        </is>
      </c>
      <c r="G1141" t="n">
        <v>3.2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s="2" t="inlineStr"/>
    </row>
    <row r="1142" ht="15" customHeight="1">
      <c r="A1142" t="inlineStr">
        <is>
          <t>A 33129-2019</t>
        </is>
      </c>
      <c r="B1142" s="1" t="n">
        <v>43649</v>
      </c>
      <c r="C1142" s="1" t="n">
        <v>45211</v>
      </c>
      <c r="D1142" t="inlineStr">
        <is>
          <t>ÖSTERGÖTLANDS LÄN</t>
        </is>
      </c>
      <c r="E1142" t="inlineStr">
        <is>
          <t>KINDA</t>
        </is>
      </c>
      <c r="G1142" t="n">
        <v>3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s="2" t="inlineStr"/>
    </row>
    <row r="1143" ht="15" customHeight="1">
      <c r="A1143" t="inlineStr">
        <is>
          <t>A 33169-2019</t>
        </is>
      </c>
      <c r="B1143" s="1" t="n">
        <v>43649</v>
      </c>
      <c r="C1143" s="1" t="n">
        <v>45211</v>
      </c>
      <c r="D1143" t="inlineStr">
        <is>
          <t>ÖSTERGÖTLANDS LÄN</t>
        </is>
      </c>
      <c r="E1143" t="inlineStr">
        <is>
          <t>LINKÖPING</t>
        </is>
      </c>
      <c r="G1143" t="n">
        <v>0.5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s="2" t="inlineStr"/>
    </row>
    <row r="1144" ht="15" customHeight="1">
      <c r="A1144" t="inlineStr">
        <is>
          <t>A 34812-2019</t>
        </is>
      </c>
      <c r="B1144" s="1" t="n">
        <v>43649</v>
      </c>
      <c r="C1144" s="1" t="n">
        <v>45211</v>
      </c>
      <c r="D1144" t="inlineStr">
        <is>
          <t>ÖSTERGÖTLANDS LÄN</t>
        </is>
      </c>
      <c r="E1144" t="inlineStr">
        <is>
          <t>MJÖLBY</t>
        </is>
      </c>
      <c r="G1144" t="n">
        <v>2.7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s="2" t="inlineStr"/>
    </row>
    <row r="1145" ht="15" customHeight="1">
      <c r="A1145" t="inlineStr">
        <is>
          <t>A 33234-2019</t>
        </is>
      </c>
      <c r="B1145" s="1" t="n">
        <v>43650</v>
      </c>
      <c r="C1145" s="1" t="n">
        <v>45211</v>
      </c>
      <c r="D1145" t="inlineStr">
        <is>
          <t>ÖSTERGÖTLANDS LÄN</t>
        </is>
      </c>
      <c r="E1145" t="inlineStr">
        <is>
          <t>LINKÖPING</t>
        </is>
      </c>
      <c r="F1145" t="inlineStr">
        <is>
          <t>Sveaskog</t>
        </is>
      </c>
      <c r="G1145" t="n">
        <v>5.4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s="2" t="inlineStr"/>
    </row>
    <row r="1146" ht="15" customHeight="1">
      <c r="A1146" t="inlineStr">
        <is>
          <t>A 33291-2019</t>
        </is>
      </c>
      <c r="B1146" s="1" t="n">
        <v>43650</v>
      </c>
      <c r="C1146" s="1" t="n">
        <v>45211</v>
      </c>
      <c r="D1146" t="inlineStr">
        <is>
          <t>ÖSTERGÖTLANDS LÄN</t>
        </is>
      </c>
      <c r="E1146" t="inlineStr">
        <is>
          <t>FINSPÅNG</t>
        </is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s="2" t="inlineStr"/>
    </row>
    <row r="1147" ht="15" customHeight="1">
      <c r="A1147" t="inlineStr">
        <is>
          <t>A 33319-2019</t>
        </is>
      </c>
      <c r="B1147" s="1" t="n">
        <v>43650</v>
      </c>
      <c r="C1147" s="1" t="n">
        <v>45211</v>
      </c>
      <c r="D1147" t="inlineStr">
        <is>
          <t>ÖSTERGÖTLANDS LÄN</t>
        </is>
      </c>
      <c r="E1147" t="inlineStr">
        <is>
          <t>LINKÖPING</t>
        </is>
      </c>
      <c r="G1147" t="n">
        <v>2.3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s="2" t="inlineStr"/>
    </row>
    <row r="1148" ht="15" customHeight="1">
      <c r="A1148" t="inlineStr">
        <is>
          <t>A 33425-2019</t>
        </is>
      </c>
      <c r="B1148" s="1" t="n">
        <v>43650</v>
      </c>
      <c r="C1148" s="1" t="n">
        <v>45211</v>
      </c>
      <c r="D1148" t="inlineStr">
        <is>
          <t>ÖSTERGÖTLANDS LÄN</t>
        </is>
      </c>
      <c r="E1148" t="inlineStr">
        <is>
          <t>LINKÖPING</t>
        </is>
      </c>
      <c r="F1148" t="inlineStr">
        <is>
          <t>Övriga statliga verk och myndigheter</t>
        </is>
      </c>
      <c r="G1148" t="n">
        <v>9.699999999999999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s="2" t="inlineStr"/>
    </row>
    <row r="1149" ht="15" customHeight="1">
      <c r="A1149" t="inlineStr">
        <is>
          <t>A 33689-2019</t>
        </is>
      </c>
      <c r="B1149" s="1" t="n">
        <v>43651</v>
      </c>
      <c r="C1149" s="1" t="n">
        <v>45211</v>
      </c>
      <c r="D1149" t="inlineStr">
        <is>
          <t>ÖSTERGÖTLANDS LÄN</t>
        </is>
      </c>
      <c r="E1149" t="inlineStr">
        <is>
          <t>KINDA</t>
        </is>
      </c>
      <c r="G1149" t="n">
        <v>2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s="2" t="inlineStr"/>
    </row>
    <row r="1150" ht="15" customHeight="1">
      <c r="A1150" t="inlineStr">
        <is>
          <t>A 33812-2019</t>
        </is>
      </c>
      <c r="B1150" s="1" t="n">
        <v>43651</v>
      </c>
      <c r="C1150" s="1" t="n">
        <v>45211</v>
      </c>
      <c r="D1150" t="inlineStr">
        <is>
          <t>ÖSTERGÖTLANDS LÄN</t>
        </is>
      </c>
      <c r="E1150" t="inlineStr">
        <is>
          <t>FINSPÅNG</t>
        </is>
      </c>
      <c r="G1150" t="n">
        <v>1.7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s="2" t="inlineStr"/>
    </row>
    <row r="1151" ht="15" customHeight="1">
      <c r="A1151" t="inlineStr">
        <is>
          <t>A 34042-2019</t>
        </is>
      </c>
      <c r="B1151" s="1" t="n">
        <v>43654</v>
      </c>
      <c r="C1151" s="1" t="n">
        <v>45211</v>
      </c>
      <c r="D1151" t="inlineStr">
        <is>
          <t>ÖSTERGÖTLANDS LÄN</t>
        </is>
      </c>
      <c r="E1151" t="inlineStr">
        <is>
          <t>MOTALA</t>
        </is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s="2" t="inlineStr"/>
    </row>
    <row r="1152" ht="15" customHeight="1">
      <c r="A1152" t="inlineStr">
        <is>
          <t>A 34252-2019</t>
        </is>
      </c>
      <c r="B1152" s="1" t="n">
        <v>43655</v>
      </c>
      <c r="C1152" s="1" t="n">
        <v>45211</v>
      </c>
      <c r="D1152" t="inlineStr">
        <is>
          <t>ÖSTERGÖTLANDS LÄN</t>
        </is>
      </c>
      <c r="E1152" t="inlineStr">
        <is>
          <t>BOXHOLM</t>
        </is>
      </c>
      <c r="G1152" t="n">
        <v>0.5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s="2" t="inlineStr"/>
    </row>
    <row r="1153" ht="15" customHeight="1">
      <c r="A1153" t="inlineStr">
        <is>
          <t>A 34300-2019</t>
        </is>
      </c>
      <c r="B1153" s="1" t="n">
        <v>43655</v>
      </c>
      <c r="C1153" s="1" t="n">
        <v>45211</v>
      </c>
      <c r="D1153" t="inlineStr">
        <is>
          <t>ÖSTERGÖTLANDS LÄN</t>
        </is>
      </c>
      <c r="E1153" t="inlineStr">
        <is>
          <t>NORRKÖPING</t>
        </is>
      </c>
      <c r="G1153" t="n">
        <v>2.1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s="2" t="inlineStr"/>
    </row>
    <row r="1154" ht="15" customHeight="1">
      <c r="A1154" t="inlineStr">
        <is>
          <t>A 34556-2019</t>
        </is>
      </c>
      <c r="B1154" s="1" t="n">
        <v>43657</v>
      </c>
      <c r="C1154" s="1" t="n">
        <v>45211</v>
      </c>
      <c r="D1154" t="inlineStr">
        <is>
          <t>ÖSTERGÖTLANDS LÄN</t>
        </is>
      </c>
      <c r="E1154" t="inlineStr">
        <is>
          <t>FINSPÅNG</t>
        </is>
      </c>
      <c r="F1154" t="inlineStr">
        <is>
          <t>Holmen skog AB</t>
        </is>
      </c>
      <c r="G1154" t="n">
        <v>1.3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s="2" t="inlineStr"/>
    </row>
    <row r="1155" ht="15" customHeight="1">
      <c r="A1155" t="inlineStr">
        <is>
          <t>A 36015-2019</t>
        </is>
      </c>
      <c r="B1155" s="1" t="n">
        <v>43657</v>
      </c>
      <c r="C1155" s="1" t="n">
        <v>45211</v>
      </c>
      <c r="D1155" t="inlineStr">
        <is>
          <t>ÖSTERGÖTLANDS LÄN</t>
        </is>
      </c>
      <c r="E1155" t="inlineStr">
        <is>
          <t>KINDA</t>
        </is>
      </c>
      <c r="G1155" t="n">
        <v>8.9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s="2" t="inlineStr"/>
    </row>
    <row r="1156" ht="15" customHeight="1">
      <c r="A1156" t="inlineStr">
        <is>
          <t>A 34557-2019</t>
        </is>
      </c>
      <c r="B1156" s="1" t="n">
        <v>43657</v>
      </c>
      <c r="C1156" s="1" t="n">
        <v>45211</v>
      </c>
      <c r="D1156" t="inlineStr">
        <is>
          <t>ÖSTERGÖTLANDS LÄN</t>
        </is>
      </c>
      <c r="E1156" t="inlineStr">
        <is>
          <t>FINSPÅNG</t>
        </is>
      </c>
      <c r="F1156" t="inlineStr">
        <is>
          <t>Holmen skog AB</t>
        </is>
      </c>
      <c r="G1156" t="n">
        <v>0.5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s="2" t="inlineStr"/>
    </row>
    <row r="1157" ht="15" customHeight="1">
      <c r="A1157" t="inlineStr">
        <is>
          <t>A 34697-2019</t>
        </is>
      </c>
      <c r="B1157" s="1" t="n">
        <v>43657</v>
      </c>
      <c r="C1157" s="1" t="n">
        <v>45211</v>
      </c>
      <c r="D1157" t="inlineStr">
        <is>
          <t>ÖSTERGÖTLANDS LÄN</t>
        </is>
      </c>
      <c r="E1157" t="inlineStr">
        <is>
          <t>FINSPÅNG</t>
        </is>
      </c>
      <c r="F1157" t="inlineStr">
        <is>
          <t>Holmen skog AB</t>
        </is>
      </c>
      <c r="G1157" t="n">
        <v>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s="2" t="inlineStr"/>
    </row>
    <row r="1158" ht="15" customHeight="1">
      <c r="A1158" t="inlineStr">
        <is>
          <t>A 34559-2019</t>
        </is>
      </c>
      <c r="B1158" s="1" t="n">
        <v>43657</v>
      </c>
      <c r="C1158" s="1" t="n">
        <v>45211</v>
      </c>
      <c r="D1158" t="inlineStr">
        <is>
          <t>ÖSTERGÖTLANDS LÄN</t>
        </is>
      </c>
      <c r="E1158" t="inlineStr">
        <is>
          <t>FINSPÅNG</t>
        </is>
      </c>
      <c r="F1158" t="inlineStr">
        <is>
          <t>Holmen skog AB</t>
        </is>
      </c>
      <c r="G1158" t="n">
        <v>0.3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s="2" t="inlineStr"/>
    </row>
    <row r="1159" ht="15" customHeight="1">
      <c r="A1159" t="inlineStr">
        <is>
          <t>A 36001-2019</t>
        </is>
      </c>
      <c r="B1159" s="1" t="n">
        <v>43657</v>
      </c>
      <c r="C1159" s="1" t="n">
        <v>45211</v>
      </c>
      <c r="D1159" t="inlineStr">
        <is>
          <t>ÖSTERGÖTLANDS LÄN</t>
        </is>
      </c>
      <c r="E1159" t="inlineStr">
        <is>
          <t>KINDA</t>
        </is>
      </c>
      <c r="G1159" t="n">
        <v>4.6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s="2" t="inlineStr"/>
    </row>
    <row r="1160" ht="15" customHeight="1">
      <c r="A1160" t="inlineStr">
        <is>
          <t>A 36012-2019</t>
        </is>
      </c>
      <c r="B1160" s="1" t="n">
        <v>43657</v>
      </c>
      <c r="C1160" s="1" t="n">
        <v>45211</v>
      </c>
      <c r="D1160" t="inlineStr">
        <is>
          <t>ÖSTERGÖTLANDS LÄN</t>
        </is>
      </c>
      <c r="E1160" t="inlineStr">
        <is>
          <t>KINDA</t>
        </is>
      </c>
      <c r="G1160" t="n">
        <v>4.8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s="2" t="inlineStr"/>
    </row>
    <row r="1161" ht="15" customHeight="1">
      <c r="A1161" t="inlineStr">
        <is>
          <t>A 34839-2019</t>
        </is>
      </c>
      <c r="B1161" s="1" t="n">
        <v>43658</v>
      </c>
      <c r="C1161" s="1" t="n">
        <v>45211</v>
      </c>
      <c r="D1161" t="inlineStr">
        <is>
          <t>ÖSTERGÖTLANDS LÄN</t>
        </is>
      </c>
      <c r="E1161" t="inlineStr">
        <is>
          <t>LINKÖPING</t>
        </is>
      </c>
      <c r="G1161" t="n">
        <v>0.5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s="2" t="inlineStr"/>
    </row>
    <row r="1162" ht="15" customHeight="1">
      <c r="A1162" t="inlineStr">
        <is>
          <t>A 35133-2019</t>
        </is>
      </c>
      <c r="B1162" s="1" t="n">
        <v>43661</v>
      </c>
      <c r="C1162" s="1" t="n">
        <v>45211</v>
      </c>
      <c r="D1162" t="inlineStr">
        <is>
          <t>ÖSTERGÖTLANDS LÄN</t>
        </is>
      </c>
      <c r="E1162" t="inlineStr">
        <is>
          <t>FINSPÅNG</t>
        </is>
      </c>
      <c r="G1162" t="n">
        <v>0.5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s="2" t="inlineStr"/>
    </row>
    <row r="1163" ht="15" customHeight="1">
      <c r="A1163" t="inlineStr">
        <is>
          <t>A 35134-2019</t>
        </is>
      </c>
      <c r="B1163" s="1" t="n">
        <v>43661</v>
      </c>
      <c r="C1163" s="1" t="n">
        <v>45211</v>
      </c>
      <c r="D1163" t="inlineStr">
        <is>
          <t>ÖSTERGÖTLANDS LÄN</t>
        </is>
      </c>
      <c r="E1163" t="inlineStr">
        <is>
          <t>SÖDERKÖPING</t>
        </is>
      </c>
      <c r="G1163" t="n">
        <v>2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s="2" t="inlineStr"/>
    </row>
    <row r="1164" ht="15" customHeight="1">
      <c r="A1164" t="inlineStr">
        <is>
          <t>A 36301-2019</t>
        </is>
      </c>
      <c r="B1164" s="1" t="n">
        <v>43661</v>
      </c>
      <c r="C1164" s="1" t="n">
        <v>45211</v>
      </c>
      <c r="D1164" t="inlineStr">
        <is>
          <t>ÖSTERGÖTLANDS LÄN</t>
        </is>
      </c>
      <c r="E1164" t="inlineStr">
        <is>
          <t>KINDA</t>
        </is>
      </c>
      <c r="G1164" t="n">
        <v>2.1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s="2" t="inlineStr"/>
    </row>
    <row r="1165" ht="15" customHeight="1">
      <c r="A1165" t="inlineStr">
        <is>
          <t>A 35130-2019</t>
        </is>
      </c>
      <c r="B1165" s="1" t="n">
        <v>43661</v>
      </c>
      <c r="C1165" s="1" t="n">
        <v>45211</v>
      </c>
      <c r="D1165" t="inlineStr">
        <is>
          <t>ÖSTERGÖTLANDS LÄN</t>
        </is>
      </c>
      <c r="E1165" t="inlineStr">
        <is>
          <t>YDRE</t>
        </is>
      </c>
      <c r="G1165" t="n">
        <v>1.1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s="2" t="inlineStr"/>
    </row>
    <row r="1166" ht="15" customHeight="1">
      <c r="A1166" t="inlineStr">
        <is>
          <t>A 36319-2019</t>
        </is>
      </c>
      <c r="B1166" s="1" t="n">
        <v>43661</v>
      </c>
      <c r="C1166" s="1" t="n">
        <v>45211</v>
      </c>
      <c r="D1166" t="inlineStr">
        <is>
          <t>ÖSTERGÖTLANDS LÄN</t>
        </is>
      </c>
      <c r="E1166" t="inlineStr">
        <is>
          <t>NORRKÖPING</t>
        </is>
      </c>
      <c r="G1166" t="n">
        <v>2.9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s="2" t="inlineStr"/>
    </row>
    <row r="1167" ht="15" customHeight="1">
      <c r="A1167" t="inlineStr">
        <is>
          <t>A 35414-2019</t>
        </is>
      </c>
      <c r="B1167" s="1" t="n">
        <v>43663</v>
      </c>
      <c r="C1167" s="1" t="n">
        <v>45211</v>
      </c>
      <c r="D1167" t="inlineStr">
        <is>
          <t>ÖSTERGÖTLANDS LÄN</t>
        </is>
      </c>
      <c r="E1167" t="inlineStr">
        <is>
          <t>MOTALA</t>
        </is>
      </c>
      <c r="G1167" t="n">
        <v>6.5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s="2" t="inlineStr"/>
    </row>
    <row r="1168" ht="15" customHeight="1">
      <c r="A1168" t="inlineStr">
        <is>
          <t>A 35516-2019</t>
        </is>
      </c>
      <c r="B1168" s="1" t="n">
        <v>43663</v>
      </c>
      <c r="C1168" s="1" t="n">
        <v>45211</v>
      </c>
      <c r="D1168" t="inlineStr">
        <is>
          <t>ÖSTERGÖTLANDS LÄN</t>
        </is>
      </c>
      <c r="E1168" t="inlineStr">
        <is>
          <t>LINKÖPING</t>
        </is>
      </c>
      <c r="G1168" t="n">
        <v>1.4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s="2" t="inlineStr"/>
    </row>
    <row r="1169" ht="15" customHeight="1">
      <c r="A1169" t="inlineStr">
        <is>
          <t>A 36475-2019</t>
        </is>
      </c>
      <c r="B1169" s="1" t="n">
        <v>43665</v>
      </c>
      <c r="C1169" s="1" t="n">
        <v>45211</v>
      </c>
      <c r="D1169" t="inlineStr">
        <is>
          <t>ÖSTERGÖTLANDS LÄN</t>
        </is>
      </c>
      <c r="E1169" t="inlineStr">
        <is>
          <t>MOTALA</t>
        </is>
      </c>
      <c r="G1169" t="n">
        <v>6.1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s="2" t="inlineStr"/>
    </row>
    <row r="1170" ht="15" customHeight="1">
      <c r="A1170" t="inlineStr">
        <is>
          <t>A 36476-2019</t>
        </is>
      </c>
      <c r="B1170" s="1" t="n">
        <v>43665</v>
      </c>
      <c r="C1170" s="1" t="n">
        <v>45211</v>
      </c>
      <c r="D1170" t="inlineStr">
        <is>
          <t>ÖSTERGÖTLANDS LÄN</t>
        </is>
      </c>
      <c r="E1170" t="inlineStr">
        <is>
          <t>MOTALA</t>
        </is>
      </c>
      <c r="G1170" t="n">
        <v>5.3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s="2" t="inlineStr"/>
    </row>
    <row r="1171" ht="15" customHeight="1">
      <c r="A1171" t="inlineStr">
        <is>
          <t>A 36473-2019</t>
        </is>
      </c>
      <c r="B1171" s="1" t="n">
        <v>43665</v>
      </c>
      <c r="C1171" s="1" t="n">
        <v>45211</v>
      </c>
      <c r="D1171" t="inlineStr">
        <is>
          <t>ÖSTERGÖTLANDS LÄN</t>
        </is>
      </c>
      <c r="E1171" t="inlineStr">
        <is>
          <t>MOTALA</t>
        </is>
      </c>
      <c r="G1171" t="n">
        <v>2.7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s="2" t="inlineStr"/>
    </row>
    <row r="1172" ht="15" customHeight="1">
      <c r="A1172" t="inlineStr">
        <is>
          <t>A 36170-2019</t>
        </is>
      </c>
      <c r="B1172" s="1" t="n">
        <v>43668</v>
      </c>
      <c r="C1172" s="1" t="n">
        <v>45211</v>
      </c>
      <c r="D1172" t="inlineStr">
        <is>
          <t>ÖSTERGÖTLANDS LÄN</t>
        </is>
      </c>
      <c r="E1172" t="inlineStr">
        <is>
          <t>ÅTVIDABERG</t>
        </is>
      </c>
      <c r="G1172" t="n">
        <v>1.2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s="2" t="inlineStr"/>
    </row>
    <row r="1173" ht="15" customHeight="1">
      <c r="A1173" t="inlineStr">
        <is>
          <t>A 36668-2019</t>
        </is>
      </c>
      <c r="B1173" s="1" t="n">
        <v>43669</v>
      </c>
      <c r="C1173" s="1" t="n">
        <v>45211</v>
      </c>
      <c r="D1173" t="inlineStr">
        <is>
          <t>ÖSTERGÖTLANDS LÄN</t>
        </is>
      </c>
      <c r="E1173" t="inlineStr">
        <is>
          <t>MOTALA</t>
        </is>
      </c>
      <c r="G1173" t="n">
        <v>3.4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s="2" t="inlineStr"/>
    </row>
    <row r="1174" ht="15" customHeight="1">
      <c r="A1174" t="inlineStr">
        <is>
          <t>A 36684-2019</t>
        </is>
      </c>
      <c r="B1174" s="1" t="n">
        <v>43669</v>
      </c>
      <c r="C1174" s="1" t="n">
        <v>45211</v>
      </c>
      <c r="D1174" t="inlineStr">
        <is>
          <t>ÖSTERGÖTLANDS LÄN</t>
        </is>
      </c>
      <c r="E1174" t="inlineStr">
        <is>
          <t>VALDEMARSVIK</t>
        </is>
      </c>
      <c r="G1174" t="n">
        <v>0.5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s="2" t="inlineStr"/>
    </row>
    <row r="1175" ht="15" customHeight="1">
      <c r="A1175" t="inlineStr">
        <is>
          <t>A 36681-2019</t>
        </is>
      </c>
      <c r="B1175" s="1" t="n">
        <v>43669</v>
      </c>
      <c r="C1175" s="1" t="n">
        <v>45211</v>
      </c>
      <c r="D1175" t="inlineStr">
        <is>
          <t>ÖSTERGÖTLANDS LÄN</t>
        </is>
      </c>
      <c r="E1175" t="inlineStr">
        <is>
          <t>VALDEMARSVIK</t>
        </is>
      </c>
      <c r="G1175" t="n">
        <v>0.6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s="2" t="inlineStr"/>
    </row>
    <row r="1176" ht="15" customHeight="1">
      <c r="A1176" t="inlineStr">
        <is>
          <t>A 36673-2019</t>
        </is>
      </c>
      <c r="B1176" s="1" t="n">
        <v>43669</v>
      </c>
      <c r="C1176" s="1" t="n">
        <v>45211</v>
      </c>
      <c r="D1176" t="inlineStr">
        <is>
          <t>ÖSTERGÖTLANDS LÄN</t>
        </is>
      </c>
      <c r="E1176" t="inlineStr">
        <is>
          <t>MOTALA</t>
        </is>
      </c>
      <c r="G1176" t="n">
        <v>6.1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s="2" t="inlineStr"/>
    </row>
    <row r="1177" ht="15" customHeight="1">
      <c r="A1177" t="inlineStr">
        <is>
          <t>A 36674-2019</t>
        </is>
      </c>
      <c r="B1177" s="1" t="n">
        <v>43669</v>
      </c>
      <c r="C1177" s="1" t="n">
        <v>45211</v>
      </c>
      <c r="D1177" t="inlineStr">
        <is>
          <t>ÖSTERGÖTLANDS LÄN</t>
        </is>
      </c>
      <c r="E1177" t="inlineStr">
        <is>
          <t>MOTALA</t>
        </is>
      </c>
      <c r="G1177" t="n">
        <v>5.5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s="2" t="inlineStr"/>
    </row>
    <row r="1178" ht="15" customHeight="1">
      <c r="A1178" t="inlineStr">
        <is>
          <t>A 36783-2019</t>
        </is>
      </c>
      <c r="B1178" s="1" t="n">
        <v>43672</v>
      </c>
      <c r="C1178" s="1" t="n">
        <v>45211</v>
      </c>
      <c r="D1178" t="inlineStr">
        <is>
          <t>ÖSTERGÖTLANDS LÄN</t>
        </is>
      </c>
      <c r="E1178" t="inlineStr">
        <is>
          <t>LINKÖPING</t>
        </is>
      </c>
      <c r="G1178" t="n">
        <v>0.9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s="2" t="inlineStr"/>
    </row>
    <row r="1179" ht="15" customHeight="1">
      <c r="A1179" t="inlineStr">
        <is>
          <t>A 36763-2019</t>
        </is>
      </c>
      <c r="B1179" s="1" t="n">
        <v>43672</v>
      </c>
      <c r="C1179" s="1" t="n">
        <v>45211</v>
      </c>
      <c r="D1179" t="inlineStr">
        <is>
          <t>ÖSTERGÖTLANDS LÄN</t>
        </is>
      </c>
      <c r="E1179" t="inlineStr">
        <is>
          <t>KINDA</t>
        </is>
      </c>
      <c r="G1179" t="n">
        <v>3.5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s="2" t="inlineStr"/>
    </row>
    <row r="1180" ht="15" customHeight="1">
      <c r="A1180" t="inlineStr">
        <is>
          <t>A 36775-2019</t>
        </is>
      </c>
      <c r="B1180" s="1" t="n">
        <v>43672</v>
      </c>
      <c r="C1180" s="1" t="n">
        <v>45211</v>
      </c>
      <c r="D1180" t="inlineStr">
        <is>
          <t>ÖSTERGÖTLANDS LÄN</t>
        </is>
      </c>
      <c r="E1180" t="inlineStr">
        <is>
          <t>ÅTVIDABERG</t>
        </is>
      </c>
      <c r="G1180" t="n">
        <v>1.5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s="2" t="inlineStr"/>
    </row>
    <row r="1181" ht="15" customHeight="1">
      <c r="A1181" t="inlineStr">
        <is>
          <t>A 36827-2019</t>
        </is>
      </c>
      <c r="B1181" s="1" t="n">
        <v>43674</v>
      </c>
      <c r="C1181" s="1" t="n">
        <v>45211</v>
      </c>
      <c r="D1181" t="inlineStr">
        <is>
          <t>ÖSTERGÖTLANDS LÄN</t>
        </is>
      </c>
      <c r="E1181" t="inlineStr">
        <is>
          <t>SÖDERKÖPING</t>
        </is>
      </c>
      <c r="G1181" t="n">
        <v>0.9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s="2" t="inlineStr"/>
    </row>
    <row r="1182" ht="15" customHeight="1">
      <c r="A1182" t="inlineStr">
        <is>
          <t>A 36826-2019</t>
        </is>
      </c>
      <c r="B1182" s="1" t="n">
        <v>43674</v>
      </c>
      <c r="C1182" s="1" t="n">
        <v>45211</v>
      </c>
      <c r="D1182" t="inlineStr">
        <is>
          <t>ÖSTERGÖTLANDS LÄN</t>
        </is>
      </c>
      <c r="E1182" t="inlineStr">
        <is>
          <t>SÖDERKÖPING</t>
        </is>
      </c>
      <c r="G1182" t="n">
        <v>1.9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s="2" t="inlineStr"/>
    </row>
    <row r="1183" ht="15" customHeight="1">
      <c r="A1183" t="inlineStr">
        <is>
          <t>A 36869-2019</t>
        </is>
      </c>
      <c r="B1183" s="1" t="n">
        <v>43675</v>
      </c>
      <c r="C1183" s="1" t="n">
        <v>45211</v>
      </c>
      <c r="D1183" t="inlineStr">
        <is>
          <t>ÖSTERGÖTLANDS LÄN</t>
        </is>
      </c>
      <c r="E1183" t="inlineStr">
        <is>
          <t>NORRKÖPING</t>
        </is>
      </c>
      <c r="G1183" t="n">
        <v>4.7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s="2" t="inlineStr"/>
    </row>
    <row r="1184" ht="15" customHeight="1">
      <c r="A1184" t="inlineStr">
        <is>
          <t>A 36911-2019</t>
        </is>
      </c>
      <c r="B1184" s="1" t="n">
        <v>43675</v>
      </c>
      <c r="C1184" s="1" t="n">
        <v>45211</v>
      </c>
      <c r="D1184" t="inlineStr">
        <is>
          <t>ÖSTERGÖTLANDS LÄN</t>
        </is>
      </c>
      <c r="E1184" t="inlineStr">
        <is>
          <t>BOXHOLM</t>
        </is>
      </c>
      <c r="G1184" t="n">
        <v>2.1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s="2" t="inlineStr"/>
    </row>
    <row r="1185" ht="15" customHeight="1">
      <c r="A1185" t="inlineStr">
        <is>
          <t>A 37006-2019</t>
        </is>
      </c>
      <c r="B1185" s="1" t="n">
        <v>43675</v>
      </c>
      <c r="C1185" s="1" t="n">
        <v>45211</v>
      </c>
      <c r="D1185" t="inlineStr">
        <is>
          <t>ÖSTERGÖTLANDS LÄN</t>
        </is>
      </c>
      <c r="E1185" t="inlineStr">
        <is>
          <t>MOTALA</t>
        </is>
      </c>
      <c r="G1185" t="n">
        <v>6.9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s="2" t="inlineStr"/>
    </row>
    <row r="1186" ht="15" customHeight="1">
      <c r="A1186" t="inlineStr">
        <is>
          <t>A 36908-2019</t>
        </is>
      </c>
      <c r="B1186" s="1" t="n">
        <v>43675</v>
      </c>
      <c r="C1186" s="1" t="n">
        <v>45211</v>
      </c>
      <c r="D1186" t="inlineStr">
        <is>
          <t>ÖSTERGÖTLANDS LÄN</t>
        </is>
      </c>
      <c r="E1186" t="inlineStr">
        <is>
          <t>BOXHOLM</t>
        </is>
      </c>
      <c r="G1186" t="n">
        <v>0.6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s="2" t="inlineStr"/>
    </row>
    <row r="1187" ht="15" customHeight="1">
      <c r="A1187" t="inlineStr">
        <is>
          <t>A 36938-2019</t>
        </is>
      </c>
      <c r="B1187" s="1" t="n">
        <v>43675</v>
      </c>
      <c r="C1187" s="1" t="n">
        <v>45211</v>
      </c>
      <c r="D1187" t="inlineStr">
        <is>
          <t>ÖSTERGÖTLANDS LÄN</t>
        </is>
      </c>
      <c r="E1187" t="inlineStr">
        <is>
          <t>MJÖLBY</t>
        </is>
      </c>
      <c r="G1187" t="n">
        <v>2.3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s="2" t="inlineStr"/>
    </row>
    <row r="1188" ht="15" customHeight="1">
      <c r="A1188" t="inlineStr">
        <is>
          <t>A 36951-2019</t>
        </is>
      </c>
      <c r="B1188" s="1" t="n">
        <v>43675</v>
      </c>
      <c r="C1188" s="1" t="n">
        <v>45211</v>
      </c>
      <c r="D1188" t="inlineStr">
        <is>
          <t>ÖSTERGÖTLANDS LÄN</t>
        </is>
      </c>
      <c r="E1188" t="inlineStr">
        <is>
          <t>LINKÖPING</t>
        </is>
      </c>
      <c r="F1188" t="inlineStr">
        <is>
          <t>Allmännings- och besparingsskogar</t>
        </is>
      </c>
      <c r="G1188" t="n">
        <v>3.7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s="2" t="inlineStr"/>
    </row>
    <row r="1189" ht="15" customHeight="1">
      <c r="A1189" t="inlineStr">
        <is>
          <t>A 37012-2019</t>
        </is>
      </c>
      <c r="B1189" s="1" t="n">
        <v>43675</v>
      </c>
      <c r="C1189" s="1" t="n">
        <v>45211</v>
      </c>
      <c r="D1189" t="inlineStr">
        <is>
          <t>ÖSTERGÖTLANDS LÄN</t>
        </is>
      </c>
      <c r="E1189" t="inlineStr">
        <is>
          <t>MOTALA</t>
        </is>
      </c>
      <c r="G1189" t="n">
        <v>50.7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s="2" t="inlineStr"/>
    </row>
    <row r="1190" ht="15" customHeight="1">
      <c r="A1190" t="inlineStr">
        <is>
          <t>A 37022-2019</t>
        </is>
      </c>
      <c r="B1190" s="1" t="n">
        <v>43676</v>
      </c>
      <c r="C1190" s="1" t="n">
        <v>45211</v>
      </c>
      <c r="D1190" t="inlineStr">
        <is>
          <t>ÖSTERGÖTLANDS LÄN</t>
        </is>
      </c>
      <c r="E1190" t="inlineStr">
        <is>
          <t>VALDEMARSVIK</t>
        </is>
      </c>
      <c r="G1190" t="n">
        <v>1.1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s="2" t="inlineStr"/>
    </row>
    <row r="1191" ht="15" customHeight="1">
      <c r="A1191" t="inlineStr">
        <is>
          <t>A 37488-2019</t>
        </is>
      </c>
      <c r="B1191" s="1" t="n">
        <v>43677</v>
      </c>
      <c r="C1191" s="1" t="n">
        <v>45211</v>
      </c>
      <c r="D1191" t="inlineStr">
        <is>
          <t>ÖSTERGÖTLANDS LÄN</t>
        </is>
      </c>
      <c r="E1191" t="inlineStr">
        <is>
          <t>MOTALA</t>
        </is>
      </c>
      <c r="G1191" t="n">
        <v>1.2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s="2" t="inlineStr"/>
    </row>
    <row r="1192" ht="15" customHeight="1">
      <c r="A1192" t="inlineStr">
        <is>
          <t>A 37492-2019</t>
        </is>
      </c>
      <c r="B1192" s="1" t="n">
        <v>43677</v>
      </c>
      <c r="C1192" s="1" t="n">
        <v>45211</v>
      </c>
      <c r="D1192" t="inlineStr">
        <is>
          <t>ÖSTERGÖTLANDS LÄN</t>
        </is>
      </c>
      <c r="E1192" t="inlineStr">
        <is>
          <t>MOTALA</t>
        </is>
      </c>
      <c r="G1192" t="n">
        <v>2.5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s="2" t="inlineStr"/>
    </row>
    <row r="1193" ht="15" customHeight="1">
      <c r="A1193" t="inlineStr">
        <is>
          <t>A 37229-2019</t>
        </is>
      </c>
      <c r="B1193" s="1" t="n">
        <v>43677</v>
      </c>
      <c r="C1193" s="1" t="n">
        <v>45211</v>
      </c>
      <c r="D1193" t="inlineStr">
        <is>
          <t>ÖSTERGÖTLANDS LÄN</t>
        </is>
      </c>
      <c r="E1193" t="inlineStr">
        <is>
          <t>MOTALA</t>
        </is>
      </c>
      <c r="G1193" t="n">
        <v>1.5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s="2" t="inlineStr"/>
    </row>
    <row r="1194" ht="15" customHeight="1">
      <c r="A1194" t="inlineStr">
        <is>
          <t>A 37490-2019</t>
        </is>
      </c>
      <c r="B1194" s="1" t="n">
        <v>43677</v>
      </c>
      <c r="C1194" s="1" t="n">
        <v>45211</v>
      </c>
      <c r="D1194" t="inlineStr">
        <is>
          <t>ÖSTERGÖTLANDS LÄN</t>
        </is>
      </c>
      <c r="E1194" t="inlineStr">
        <is>
          <t>MOTALA</t>
        </is>
      </c>
      <c r="G1194" t="n">
        <v>4.6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s="2" t="inlineStr"/>
    </row>
    <row r="1195" ht="15" customHeight="1">
      <c r="A1195" t="inlineStr">
        <is>
          <t>A 37382-2019</t>
        </is>
      </c>
      <c r="B1195" s="1" t="n">
        <v>43678</v>
      </c>
      <c r="C1195" s="1" t="n">
        <v>45211</v>
      </c>
      <c r="D1195" t="inlineStr">
        <is>
          <t>ÖSTERGÖTLANDS LÄN</t>
        </is>
      </c>
      <c r="E1195" t="inlineStr">
        <is>
          <t>MOTALA</t>
        </is>
      </c>
      <c r="G1195" t="n">
        <v>5.7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s="2" t="inlineStr"/>
    </row>
    <row r="1196" ht="15" customHeight="1">
      <c r="A1196" t="inlineStr">
        <is>
          <t>A 37458-2019</t>
        </is>
      </c>
      <c r="B1196" s="1" t="n">
        <v>43678</v>
      </c>
      <c r="C1196" s="1" t="n">
        <v>45211</v>
      </c>
      <c r="D1196" t="inlineStr">
        <is>
          <t>ÖSTERGÖTLANDS LÄN</t>
        </is>
      </c>
      <c r="E1196" t="inlineStr">
        <is>
          <t>VALDEMARSVIK</t>
        </is>
      </c>
      <c r="G1196" t="n">
        <v>0.5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s="2" t="inlineStr"/>
    </row>
    <row r="1197" ht="15" customHeight="1">
      <c r="A1197" t="inlineStr">
        <is>
          <t>A 37483-2019</t>
        </is>
      </c>
      <c r="B1197" s="1" t="n">
        <v>43678</v>
      </c>
      <c r="C1197" s="1" t="n">
        <v>45211</v>
      </c>
      <c r="D1197" t="inlineStr">
        <is>
          <t>ÖSTERGÖTLANDS LÄN</t>
        </is>
      </c>
      <c r="E1197" t="inlineStr">
        <is>
          <t>VALDEMARSVIK</t>
        </is>
      </c>
      <c r="G1197" t="n">
        <v>1.8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s="2" t="inlineStr"/>
    </row>
    <row r="1198" ht="15" customHeight="1">
      <c r="A1198" t="inlineStr">
        <is>
          <t>A 37460-2019</t>
        </is>
      </c>
      <c r="B1198" s="1" t="n">
        <v>43678</v>
      </c>
      <c r="C1198" s="1" t="n">
        <v>45211</v>
      </c>
      <c r="D1198" t="inlineStr">
        <is>
          <t>ÖSTERGÖTLANDS LÄN</t>
        </is>
      </c>
      <c r="E1198" t="inlineStr">
        <is>
          <t>VALDEMARSVIK</t>
        </is>
      </c>
      <c r="G1198" t="n">
        <v>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s="2" t="inlineStr"/>
    </row>
    <row r="1199" ht="15" customHeight="1">
      <c r="A1199" t="inlineStr">
        <is>
          <t>A 37564-2019</t>
        </is>
      </c>
      <c r="B1199" s="1" t="n">
        <v>43678</v>
      </c>
      <c r="C1199" s="1" t="n">
        <v>45211</v>
      </c>
      <c r="D1199" t="inlineStr">
        <is>
          <t>ÖSTERGÖTLANDS LÄN</t>
        </is>
      </c>
      <c r="E1199" t="inlineStr">
        <is>
          <t>MOTALA</t>
        </is>
      </c>
      <c r="G1199" t="n">
        <v>1.8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s="2" t="inlineStr"/>
    </row>
    <row r="1200" ht="15" customHeight="1">
      <c r="A1200" t="inlineStr">
        <is>
          <t>A 37456-2019</t>
        </is>
      </c>
      <c r="B1200" s="1" t="n">
        <v>43678</v>
      </c>
      <c r="C1200" s="1" t="n">
        <v>45211</v>
      </c>
      <c r="D1200" t="inlineStr">
        <is>
          <t>ÖSTERGÖTLANDS LÄN</t>
        </is>
      </c>
      <c r="E1200" t="inlineStr">
        <is>
          <t>FINSPÅNG</t>
        </is>
      </c>
      <c r="G1200" t="n">
        <v>0.6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s="2" t="inlineStr"/>
    </row>
    <row r="1201" ht="15" customHeight="1">
      <c r="A1201" t="inlineStr">
        <is>
          <t>A 37461-2019</t>
        </is>
      </c>
      <c r="B1201" s="1" t="n">
        <v>43678</v>
      </c>
      <c r="C1201" s="1" t="n">
        <v>45211</v>
      </c>
      <c r="D1201" t="inlineStr">
        <is>
          <t>ÖSTERGÖTLANDS LÄN</t>
        </is>
      </c>
      <c r="E1201" t="inlineStr">
        <is>
          <t>FINSPÅNG</t>
        </is>
      </c>
      <c r="G1201" t="n">
        <v>1.6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s="2" t="inlineStr"/>
    </row>
    <row r="1202" ht="15" customHeight="1">
      <c r="A1202" t="inlineStr">
        <is>
          <t>A 37567-2019</t>
        </is>
      </c>
      <c r="B1202" s="1" t="n">
        <v>43678</v>
      </c>
      <c r="C1202" s="1" t="n">
        <v>45211</v>
      </c>
      <c r="D1202" t="inlineStr">
        <is>
          <t>ÖSTERGÖTLANDS LÄN</t>
        </is>
      </c>
      <c r="E1202" t="inlineStr">
        <is>
          <t>MOTALA</t>
        </is>
      </c>
      <c r="G1202" t="n">
        <v>2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s="2" t="inlineStr"/>
    </row>
    <row r="1203" ht="15" customHeight="1">
      <c r="A1203" t="inlineStr">
        <is>
          <t>A 37454-2019</t>
        </is>
      </c>
      <c r="B1203" s="1" t="n">
        <v>43679</v>
      </c>
      <c r="C1203" s="1" t="n">
        <v>45211</v>
      </c>
      <c r="D1203" t="inlineStr">
        <is>
          <t>ÖSTERGÖTLANDS LÄN</t>
        </is>
      </c>
      <c r="E1203" t="inlineStr">
        <is>
          <t>YDRE</t>
        </is>
      </c>
      <c r="G1203" t="n">
        <v>10.7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s="2" t="inlineStr"/>
    </row>
    <row r="1204" ht="15" customHeight="1">
      <c r="A1204" t="inlineStr">
        <is>
          <t>A 37464-2019</t>
        </is>
      </c>
      <c r="B1204" s="1" t="n">
        <v>43679</v>
      </c>
      <c r="C1204" s="1" t="n">
        <v>45211</v>
      </c>
      <c r="D1204" t="inlineStr">
        <is>
          <t>ÖSTERGÖTLANDS LÄN</t>
        </is>
      </c>
      <c r="E1204" t="inlineStr">
        <is>
          <t>KINDA</t>
        </is>
      </c>
      <c r="G1204" t="n">
        <v>8.5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s="2" t="inlineStr"/>
    </row>
    <row r="1205" ht="15" customHeight="1">
      <c r="A1205" t="inlineStr">
        <is>
          <t>A 37616-2019</t>
        </is>
      </c>
      <c r="B1205" s="1" t="n">
        <v>43681</v>
      </c>
      <c r="C1205" s="1" t="n">
        <v>45211</v>
      </c>
      <c r="D1205" t="inlineStr">
        <is>
          <t>ÖSTERGÖTLANDS LÄN</t>
        </is>
      </c>
      <c r="E1205" t="inlineStr">
        <is>
          <t>VALDEMARSVIK</t>
        </is>
      </c>
      <c r="G1205" t="n">
        <v>3.5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s="2" t="inlineStr"/>
    </row>
    <row r="1206" ht="15" customHeight="1">
      <c r="A1206" t="inlineStr">
        <is>
          <t>A 37654-2019</t>
        </is>
      </c>
      <c r="B1206" s="1" t="n">
        <v>43682</v>
      </c>
      <c r="C1206" s="1" t="n">
        <v>45211</v>
      </c>
      <c r="D1206" t="inlineStr">
        <is>
          <t>ÖSTERGÖTLANDS LÄN</t>
        </is>
      </c>
      <c r="E1206" t="inlineStr">
        <is>
          <t>MOTALA</t>
        </is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s="2" t="inlineStr"/>
    </row>
    <row r="1207" ht="15" customHeight="1">
      <c r="A1207" t="inlineStr">
        <is>
          <t>A 37835-2019</t>
        </is>
      </c>
      <c r="B1207" s="1" t="n">
        <v>43682</v>
      </c>
      <c r="C1207" s="1" t="n">
        <v>45211</v>
      </c>
      <c r="D1207" t="inlineStr">
        <is>
          <t>ÖSTERGÖTLANDS LÄN</t>
        </is>
      </c>
      <c r="E1207" t="inlineStr">
        <is>
          <t>ÅTVIDABERG</t>
        </is>
      </c>
      <c r="G1207" t="n">
        <v>0.7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s="2" t="inlineStr"/>
    </row>
    <row r="1208" ht="15" customHeight="1">
      <c r="A1208" t="inlineStr">
        <is>
          <t>A 38095-2019</t>
        </is>
      </c>
      <c r="B1208" s="1" t="n">
        <v>43682</v>
      </c>
      <c r="C1208" s="1" t="n">
        <v>45211</v>
      </c>
      <c r="D1208" t="inlineStr">
        <is>
          <t>ÖSTERGÖTLANDS LÄN</t>
        </is>
      </c>
      <c r="E1208" t="inlineStr">
        <is>
          <t>YDRE</t>
        </is>
      </c>
      <c r="G1208" t="n">
        <v>1.1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s="2" t="inlineStr"/>
    </row>
    <row r="1209" ht="15" customHeight="1">
      <c r="A1209" t="inlineStr">
        <is>
          <t>A 37707-2019</t>
        </is>
      </c>
      <c r="B1209" s="1" t="n">
        <v>43682</v>
      </c>
      <c r="C1209" s="1" t="n">
        <v>45211</v>
      </c>
      <c r="D1209" t="inlineStr">
        <is>
          <t>ÖSTERGÖTLANDS LÄN</t>
        </is>
      </c>
      <c r="E1209" t="inlineStr">
        <is>
          <t>KINDA</t>
        </is>
      </c>
      <c r="G1209" t="n">
        <v>2.6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s="2" t="inlineStr"/>
    </row>
    <row r="1210" ht="15" customHeight="1">
      <c r="A1210" t="inlineStr">
        <is>
          <t>A 37855-2019</t>
        </is>
      </c>
      <c r="B1210" s="1" t="n">
        <v>43682</v>
      </c>
      <c r="C1210" s="1" t="n">
        <v>45211</v>
      </c>
      <c r="D1210" t="inlineStr">
        <is>
          <t>ÖSTERGÖTLANDS LÄN</t>
        </is>
      </c>
      <c r="E1210" t="inlineStr">
        <is>
          <t>ÅTVIDABERG</t>
        </is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s="2" t="inlineStr"/>
    </row>
    <row r="1211" ht="15" customHeight="1">
      <c r="A1211" t="inlineStr">
        <is>
          <t>A 37975-2019</t>
        </is>
      </c>
      <c r="B1211" s="1" t="n">
        <v>43683</v>
      </c>
      <c r="C1211" s="1" t="n">
        <v>45211</v>
      </c>
      <c r="D1211" t="inlineStr">
        <is>
          <t>ÖSTERGÖTLANDS LÄN</t>
        </is>
      </c>
      <c r="E1211" t="inlineStr">
        <is>
          <t>BOXHOLM</t>
        </is>
      </c>
      <c r="G1211" t="n">
        <v>1.5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s="2" t="inlineStr"/>
    </row>
    <row r="1212" ht="15" customHeight="1">
      <c r="A1212" t="inlineStr">
        <is>
          <t>A 38028-2019</t>
        </is>
      </c>
      <c r="B1212" s="1" t="n">
        <v>43683</v>
      </c>
      <c r="C1212" s="1" t="n">
        <v>45211</v>
      </c>
      <c r="D1212" t="inlineStr">
        <is>
          <t>ÖSTERGÖTLANDS LÄN</t>
        </is>
      </c>
      <c r="E1212" t="inlineStr">
        <is>
          <t>MOTALA</t>
        </is>
      </c>
      <c r="G1212" t="n">
        <v>4.8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s="2" t="inlineStr"/>
    </row>
    <row r="1213" ht="15" customHeight="1">
      <c r="A1213" t="inlineStr">
        <is>
          <t>A 37934-2019</t>
        </is>
      </c>
      <c r="B1213" s="1" t="n">
        <v>43683</v>
      </c>
      <c r="C1213" s="1" t="n">
        <v>45211</v>
      </c>
      <c r="D1213" t="inlineStr">
        <is>
          <t>ÖSTERGÖTLANDS LÄN</t>
        </is>
      </c>
      <c r="E1213" t="inlineStr">
        <is>
          <t>MOTALA</t>
        </is>
      </c>
      <c r="G1213" t="n">
        <v>1.1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s="2" t="inlineStr"/>
    </row>
    <row r="1214" ht="15" customHeight="1">
      <c r="A1214" t="inlineStr">
        <is>
          <t>A 38004-2019</t>
        </is>
      </c>
      <c r="B1214" s="1" t="n">
        <v>43683</v>
      </c>
      <c r="C1214" s="1" t="n">
        <v>45211</v>
      </c>
      <c r="D1214" t="inlineStr">
        <is>
          <t>ÖSTERGÖTLANDS LÄN</t>
        </is>
      </c>
      <c r="E1214" t="inlineStr">
        <is>
          <t>MOTALA</t>
        </is>
      </c>
      <c r="G1214" t="n">
        <v>5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s="2" t="inlineStr"/>
    </row>
    <row r="1215" ht="15" customHeight="1">
      <c r="A1215" t="inlineStr">
        <is>
          <t>A 38026-2019</t>
        </is>
      </c>
      <c r="B1215" s="1" t="n">
        <v>43683</v>
      </c>
      <c r="C1215" s="1" t="n">
        <v>45211</v>
      </c>
      <c r="D1215" t="inlineStr">
        <is>
          <t>ÖSTERGÖTLANDS LÄN</t>
        </is>
      </c>
      <c r="E1215" t="inlineStr">
        <is>
          <t>ÅTVIDABERG</t>
        </is>
      </c>
      <c r="G1215" t="n">
        <v>1.9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s="2" t="inlineStr"/>
    </row>
    <row r="1216" ht="15" customHeight="1">
      <c r="A1216" t="inlineStr">
        <is>
          <t>A 38066-2019</t>
        </is>
      </c>
      <c r="B1216" s="1" t="n">
        <v>43683</v>
      </c>
      <c r="C1216" s="1" t="n">
        <v>45211</v>
      </c>
      <c r="D1216" t="inlineStr">
        <is>
          <t>ÖSTERGÖTLANDS LÄN</t>
        </is>
      </c>
      <c r="E1216" t="inlineStr">
        <is>
          <t>FINSPÅNG</t>
        </is>
      </c>
      <c r="G1216" t="n">
        <v>2.4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s="2" t="inlineStr"/>
    </row>
    <row r="1217" ht="15" customHeight="1">
      <c r="A1217" t="inlineStr">
        <is>
          <t>A 37906-2019</t>
        </is>
      </c>
      <c r="B1217" s="1" t="n">
        <v>43683</v>
      </c>
      <c r="C1217" s="1" t="n">
        <v>45211</v>
      </c>
      <c r="D1217" t="inlineStr">
        <is>
          <t>ÖSTERGÖTLANDS LÄN</t>
        </is>
      </c>
      <c r="E1217" t="inlineStr">
        <is>
          <t>YDRE</t>
        </is>
      </c>
      <c r="G1217" t="n">
        <v>6.2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s="2" t="inlineStr"/>
    </row>
    <row r="1218" ht="15" customHeight="1">
      <c r="A1218" t="inlineStr">
        <is>
          <t>A 37932-2019</t>
        </is>
      </c>
      <c r="B1218" s="1" t="n">
        <v>43683</v>
      </c>
      <c r="C1218" s="1" t="n">
        <v>45211</v>
      </c>
      <c r="D1218" t="inlineStr">
        <is>
          <t>ÖSTERGÖTLANDS LÄN</t>
        </is>
      </c>
      <c r="E1218" t="inlineStr">
        <is>
          <t>MOTALA</t>
        </is>
      </c>
      <c r="G1218" t="n">
        <v>5.8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s="2" t="inlineStr"/>
    </row>
    <row r="1219" ht="15" customHeight="1">
      <c r="A1219" t="inlineStr">
        <is>
          <t>A 37979-2019</t>
        </is>
      </c>
      <c r="B1219" s="1" t="n">
        <v>43683</v>
      </c>
      <c r="C1219" s="1" t="n">
        <v>45211</v>
      </c>
      <c r="D1219" t="inlineStr">
        <is>
          <t>ÖSTERGÖTLANDS LÄN</t>
        </is>
      </c>
      <c r="E1219" t="inlineStr">
        <is>
          <t>MOTALA</t>
        </is>
      </c>
      <c r="G1219" t="n">
        <v>3.9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s="2" t="inlineStr"/>
    </row>
    <row r="1220" ht="15" customHeight="1">
      <c r="A1220" t="inlineStr">
        <is>
          <t>A 38014-2019</t>
        </is>
      </c>
      <c r="B1220" s="1" t="n">
        <v>43683</v>
      </c>
      <c r="C1220" s="1" t="n">
        <v>45211</v>
      </c>
      <c r="D1220" t="inlineStr">
        <is>
          <t>ÖSTERGÖTLANDS LÄN</t>
        </is>
      </c>
      <c r="E1220" t="inlineStr">
        <is>
          <t>MOTALA</t>
        </is>
      </c>
      <c r="G1220" t="n">
        <v>6.5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s="2" t="inlineStr"/>
    </row>
    <row r="1221" ht="15" customHeight="1">
      <c r="A1221" t="inlineStr">
        <is>
          <t>A 37902-2019</t>
        </is>
      </c>
      <c r="B1221" s="1" t="n">
        <v>43683</v>
      </c>
      <c r="C1221" s="1" t="n">
        <v>45211</v>
      </c>
      <c r="D1221" t="inlineStr">
        <is>
          <t>ÖSTERGÖTLANDS LÄN</t>
        </is>
      </c>
      <c r="E1221" t="inlineStr">
        <is>
          <t>KINDA</t>
        </is>
      </c>
      <c r="G1221" t="n">
        <v>1.2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s="2" t="inlineStr"/>
    </row>
    <row r="1222" ht="15" customHeight="1">
      <c r="A1222" t="inlineStr">
        <is>
          <t>A 38086-2019</t>
        </is>
      </c>
      <c r="B1222" s="1" t="n">
        <v>43683</v>
      </c>
      <c r="C1222" s="1" t="n">
        <v>45211</v>
      </c>
      <c r="D1222" t="inlineStr">
        <is>
          <t>ÖSTERGÖTLANDS LÄN</t>
        </is>
      </c>
      <c r="E1222" t="inlineStr">
        <is>
          <t>FINSPÅNG</t>
        </is>
      </c>
      <c r="G1222" t="n">
        <v>1.8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s="2" t="inlineStr"/>
    </row>
    <row r="1223" ht="15" customHeight="1">
      <c r="A1223" t="inlineStr">
        <is>
          <t>A 38212-2019</t>
        </is>
      </c>
      <c r="B1223" s="1" t="n">
        <v>43684</v>
      </c>
      <c r="C1223" s="1" t="n">
        <v>45211</v>
      </c>
      <c r="D1223" t="inlineStr">
        <is>
          <t>ÖSTERGÖTLANDS LÄN</t>
        </is>
      </c>
      <c r="E1223" t="inlineStr">
        <is>
          <t>LINKÖPING</t>
        </is>
      </c>
      <c r="G1223" t="n">
        <v>0.8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s="2" t="inlineStr"/>
    </row>
    <row r="1224" ht="15" customHeight="1">
      <c r="A1224" t="inlineStr">
        <is>
          <t>A 38295-2019</t>
        </is>
      </c>
      <c r="B1224" s="1" t="n">
        <v>43684</v>
      </c>
      <c r="C1224" s="1" t="n">
        <v>45211</v>
      </c>
      <c r="D1224" t="inlineStr">
        <is>
          <t>ÖSTERGÖTLANDS LÄN</t>
        </is>
      </c>
      <c r="E1224" t="inlineStr">
        <is>
          <t>SÖDERKÖPING</t>
        </is>
      </c>
      <c r="G1224" t="n">
        <v>1.3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s="2" t="inlineStr"/>
    </row>
    <row r="1225" ht="15" customHeight="1">
      <c r="A1225" t="inlineStr">
        <is>
          <t>A 38416-2019</t>
        </is>
      </c>
      <c r="B1225" s="1" t="n">
        <v>43685</v>
      </c>
      <c r="C1225" s="1" t="n">
        <v>45211</v>
      </c>
      <c r="D1225" t="inlineStr">
        <is>
          <t>ÖSTERGÖTLANDS LÄN</t>
        </is>
      </c>
      <c r="E1225" t="inlineStr">
        <is>
          <t>KINDA</t>
        </is>
      </c>
      <c r="G1225" t="n">
        <v>0.5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s="2" t="inlineStr"/>
    </row>
    <row r="1226" ht="15" customHeight="1">
      <c r="A1226" t="inlineStr">
        <is>
          <t>A 38519-2019</t>
        </is>
      </c>
      <c r="B1226" s="1" t="n">
        <v>43685</v>
      </c>
      <c r="C1226" s="1" t="n">
        <v>45211</v>
      </c>
      <c r="D1226" t="inlineStr">
        <is>
          <t>ÖSTERGÖTLANDS LÄN</t>
        </is>
      </c>
      <c r="E1226" t="inlineStr">
        <is>
          <t>ÅTVIDABERG</t>
        </is>
      </c>
      <c r="G1226" t="n">
        <v>1.3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s="2" t="inlineStr"/>
    </row>
    <row r="1227" ht="15" customHeight="1">
      <c r="A1227" t="inlineStr">
        <is>
          <t>A 38493-2019</t>
        </is>
      </c>
      <c r="B1227" s="1" t="n">
        <v>43685</v>
      </c>
      <c r="C1227" s="1" t="n">
        <v>45211</v>
      </c>
      <c r="D1227" t="inlineStr">
        <is>
          <t>ÖSTERGÖTLANDS LÄN</t>
        </is>
      </c>
      <c r="E1227" t="inlineStr">
        <is>
          <t>ÅTVIDABERG</t>
        </is>
      </c>
      <c r="G1227" t="n">
        <v>1.9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s="2" t="inlineStr"/>
    </row>
    <row r="1228" ht="15" customHeight="1">
      <c r="A1228" t="inlineStr">
        <is>
          <t>A 38361-2019</t>
        </is>
      </c>
      <c r="B1228" s="1" t="n">
        <v>43685</v>
      </c>
      <c r="C1228" s="1" t="n">
        <v>45211</v>
      </c>
      <c r="D1228" t="inlineStr">
        <is>
          <t>ÖSTERGÖTLANDS LÄN</t>
        </is>
      </c>
      <c r="E1228" t="inlineStr">
        <is>
          <t>NORRKÖPING</t>
        </is>
      </c>
      <c r="G1228" t="n">
        <v>2.4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s="2" t="inlineStr"/>
    </row>
    <row r="1229" ht="15" customHeight="1">
      <c r="A1229" t="inlineStr">
        <is>
          <t>A 38437-2019</t>
        </is>
      </c>
      <c r="B1229" s="1" t="n">
        <v>43685</v>
      </c>
      <c r="C1229" s="1" t="n">
        <v>45211</v>
      </c>
      <c r="D1229" t="inlineStr">
        <is>
          <t>ÖSTERGÖTLANDS LÄN</t>
        </is>
      </c>
      <c r="E1229" t="inlineStr">
        <is>
          <t>MOTALA</t>
        </is>
      </c>
      <c r="G1229" t="n">
        <v>5.2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s="2" t="inlineStr"/>
    </row>
    <row r="1230" ht="15" customHeight="1">
      <c r="A1230" t="inlineStr">
        <is>
          <t>A 38801-2019</t>
        </is>
      </c>
      <c r="B1230" s="1" t="n">
        <v>43688</v>
      </c>
      <c r="C1230" s="1" t="n">
        <v>45211</v>
      </c>
      <c r="D1230" t="inlineStr">
        <is>
          <t>ÖSTERGÖTLANDS LÄN</t>
        </is>
      </c>
      <c r="E1230" t="inlineStr">
        <is>
          <t>BOXHOLM</t>
        </is>
      </c>
      <c r="G1230" t="n">
        <v>3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s="2" t="inlineStr"/>
    </row>
    <row r="1231" ht="15" customHeight="1">
      <c r="A1231" t="inlineStr">
        <is>
          <t>A 39675-2019</t>
        </is>
      </c>
      <c r="B1231" s="1" t="n">
        <v>43689</v>
      </c>
      <c r="C1231" s="1" t="n">
        <v>45211</v>
      </c>
      <c r="D1231" t="inlineStr">
        <is>
          <t>ÖSTERGÖTLANDS LÄN</t>
        </is>
      </c>
      <c r="E1231" t="inlineStr">
        <is>
          <t>KINDA</t>
        </is>
      </c>
      <c r="G1231" t="n">
        <v>3.9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s="2" t="inlineStr"/>
    </row>
    <row r="1232" ht="15" customHeight="1">
      <c r="A1232" t="inlineStr">
        <is>
          <t>A 38901-2019</t>
        </is>
      </c>
      <c r="B1232" s="1" t="n">
        <v>43689</v>
      </c>
      <c r="C1232" s="1" t="n">
        <v>45211</v>
      </c>
      <c r="D1232" t="inlineStr">
        <is>
          <t>ÖSTERGÖTLANDS LÄN</t>
        </is>
      </c>
      <c r="E1232" t="inlineStr">
        <is>
          <t>ÖDESHÖG</t>
        </is>
      </c>
      <c r="F1232" t="inlineStr">
        <is>
          <t>Allmännings- och besparingsskogar</t>
        </is>
      </c>
      <c r="G1232" t="n">
        <v>7.6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s="2" t="inlineStr"/>
    </row>
    <row r="1233" ht="15" customHeight="1">
      <c r="A1233" t="inlineStr">
        <is>
          <t>A 39051-2019</t>
        </is>
      </c>
      <c r="B1233" s="1" t="n">
        <v>43689</v>
      </c>
      <c r="C1233" s="1" t="n">
        <v>45211</v>
      </c>
      <c r="D1233" t="inlineStr">
        <is>
          <t>ÖSTERGÖTLANDS LÄN</t>
        </is>
      </c>
      <c r="E1233" t="inlineStr">
        <is>
          <t>KINDA</t>
        </is>
      </c>
      <c r="G1233" t="n">
        <v>2.6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s="2" t="inlineStr"/>
    </row>
    <row r="1234" ht="15" customHeight="1">
      <c r="A1234" t="inlineStr">
        <is>
          <t>A 38882-2019</t>
        </is>
      </c>
      <c r="B1234" s="1" t="n">
        <v>43689</v>
      </c>
      <c r="C1234" s="1" t="n">
        <v>45211</v>
      </c>
      <c r="D1234" t="inlineStr">
        <is>
          <t>ÖSTERGÖTLANDS LÄN</t>
        </is>
      </c>
      <c r="E1234" t="inlineStr">
        <is>
          <t>VALDEMARSVIK</t>
        </is>
      </c>
      <c r="G1234" t="n">
        <v>1.3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s="2" t="inlineStr"/>
    </row>
    <row r="1235" ht="15" customHeight="1">
      <c r="A1235" t="inlineStr">
        <is>
          <t>A 39667-2019</t>
        </is>
      </c>
      <c r="B1235" s="1" t="n">
        <v>43689</v>
      </c>
      <c r="C1235" s="1" t="n">
        <v>45211</v>
      </c>
      <c r="D1235" t="inlineStr">
        <is>
          <t>ÖSTERGÖTLANDS LÄN</t>
        </is>
      </c>
      <c r="E1235" t="inlineStr">
        <is>
          <t>YDRE</t>
        </is>
      </c>
      <c r="G1235" t="n">
        <v>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s="2" t="inlineStr"/>
    </row>
    <row r="1236" ht="15" customHeight="1">
      <c r="A1236" t="inlineStr">
        <is>
          <t>A 39684-2019</t>
        </is>
      </c>
      <c r="B1236" s="1" t="n">
        <v>43689</v>
      </c>
      <c r="C1236" s="1" t="n">
        <v>45211</v>
      </c>
      <c r="D1236" t="inlineStr">
        <is>
          <t>ÖSTERGÖTLANDS LÄN</t>
        </is>
      </c>
      <c r="E1236" t="inlineStr">
        <is>
          <t>KINDA</t>
        </is>
      </c>
      <c r="G1236" t="n">
        <v>0.7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s="2" t="inlineStr"/>
    </row>
    <row r="1237" ht="15" customHeight="1">
      <c r="A1237" t="inlineStr">
        <is>
          <t>A 39896-2019</t>
        </is>
      </c>
      <c r="B1237" s="1" t="n">
        <v>43690</v>
      </c>
      <c r="C1237" s="1" t="n">
        <v>45211</v>
      </c>
      <c r="D1237" t="inlineStr">
        <is>
          <t>ÖSTERGÖTLANDS LÄN</t>
        </is>
      </c>
      <c r="E1237" t="inlineStr">
        <is>
          <t>ÅTVIDABERG</t>
        </is>
      </c>
      <c r="G1237" t="n">
        <v>4.5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s="2" t="inlineStr"/>
    </row>
    <row r="1238" ht="15" customHeight="1">
      <c r="A1238" t="inlineStr">
        <is>
          <t>A 40454-2019</t>
        </is>
      </c>
      <c r="B1238" s="1" t="n">
        <v>43690</v>
      </c>
      <c r="C1238" s="1" t="n">
        <v>45211</v>
      </c>
      <c r="D1238" t="inlineStr">
        <is>
          <t>ÖSTERGÖTLANDS LÄN</t>
        </is>
      </c>
      <c r="E1238" t="inlineStr">
        <is>
          <t>MOTALA</t>
        </is>
      </c>
      <c r="G1238" t="n">
        <v>1.8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s="2" t="inlineStr"/>
    </row>
    <row r="1239" ht="15" customHeight="1">
      <c r="A1239" t="inlineStr">
        <is>
          <t>A 39377-2019</t>
        </is>
      </c>
      <c r="B1239" s="1" t="n">
        <v>43690</v>
      </c>
      <c r="C1239" s="1" t="n">
        <v>45211</v>
      </c>
      <c r="D1239" t="inlineStr">
        <is>
          <t>ÖSTERGÖTLANDS LÄN</t>
        </is>
      </c>
      <c r="E1239" t="inlineStr">
        <is>
          <t>MOTALA</t>
        </is>
      </c>
      <c r="G1239" t="n">
        <v>3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s="2" t="inlineStr"/>
    </row>
    <row r="1240" ht="15" customHeight="1">
      <c r="A1240" t="inlineStr">
        <is>
          <t>A 40519-2019</t>
        </is>
      </c>
      <c r="B1240" s="1" t="n">
        <v>43690</v>
      </c>
      <c r="C1240" s="1" t="n">
        <v>45211</v>
      </c>
      <c r="D1240" t="inlineStr">
        <is>
          <t>ÖSTERGÖTLANDS LÄN</t>
        </is>
      </c>
      <c r="E1240" t="inlineStr">
        <is>
          <t>MOTALA</t>
        </is>
      </c>
      <c r="G1240" t="n">
        <v>0.9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s="2" t="inlineStr"/>
    </row>
    <row r="1241" ht="15" customHeight="1">
      <c r="A1241" t="inlineStr">
        <is>
          <t>A 39703-2019</t>
        </is>
      </c>
      <c r="B1241" s="1" t="n">
        <v>43691</v>
      </c>
      <c r="C1241" s="1" t="n">
        <v>45211</v>
      </c>
      <c r="D1241" t="inlineStr">
        <is>
          <t>ÖSTERGÖTLANDS LÄN</t>
        </is>
      </c>
      <c r="E1241" t="inlineStr">
        <is>
          <t>LINKÖPING</t>
        </is>
      </c>
      <c r="F1241" t="inlineStr">
        <is>
          <t>Övriga Aktiebolag</t>
        </is>
      </c>
      <c r="G1241" t="n">
        <v>4.6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s="2" t="inlineStr"/>
    </row>
    <row r="1242" ht="15" customHeight="1">
      <c r="A1242" t="inlineStr">
        <is>
          <t>A 40601-2019</t>
        </is>
      </c>
      <c r="B1242" s="1" t="n">
        <v>43691</v>
      </c>
      <c r="C1242" s="1" t="n">
        <v>45211</v>
      </c>
      <c r="D1242" t="inlineStr">
        <is>
          <t>ÖSTERGÖTLANDS LÄN</t>
        </is>
      </c>
      <c r="E1242" t="inlineStr">
        <is>
          <t>KINDA</t>
        </is>
      </c>
      <c r="G1242" t="n">
        <v>25.6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s="2" t="inlineStr"/>
    </row>
    <row r="1243" ht="15" customHeight="1">
      <c r="A1243" t="inlineStr">
        <is>
          <t>A 39541-2019</t>
        </is>
      </c>
      <c r="B1243" s="1" t="n">
        <v>43691</v>
      </c>
      <c r="C1243" s="1" t="n">
        <v>45211</v>
      </c>
      <c r="D1243" t="inlineStr">
        <is>
          <t>ÖSTERGÖTLANDS LÄN</t>
        </is>
      </c>
      <c r="E1243" t="inlineStr">
        <is>
          <t>LINKÖPING</t>
        </is>
      </c>
      <c r="G1243" t="n">
        <v>0.7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s="2" t="inlineStr"/>
    </row>
    <row r="1244" ht="15" customHeight="1">
      <c r="A1244" t="inlineStr">
        <is>
          <t>A 39640-2019</t>
        </is>
      </c>
      <c r="B1244" s="1" t="n">
        <v>43691</v>
      </c>
      <c r="C1244" s="1" t="n">
        <v>45211</v>
      </c>
      <c r="D1244" t="inlineStr">
        <is>
          <t>ÖSTERGÖTLANDS LÄN</t>
        </is>
      </c>
      <c r="E1244" t="inlineStr">
        <is>
          <t>NORRKÖPING</t>
        </is>
      </c>
      <c r="G1244" t="n">
        <v>0.9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s="2" t="inlineStr"/>
    </row>
    <row r="1245" ht="15" customHeight="1">
      <c r="A1245" t="inlineStr">
        <is>
          <t>A 39413-2019</t>
        </is>
      </c>
      <c r="B1245" s="1" t="n">
        <v>43691</v>
      </c>
      <c r="C1245" s="1" t="n">
        <v>45211</v>
      </c>
      <c r="D1245" t="inlineStr">
        <is>
          <t>ÖSTERGÖTLANDS LÄN</t>
        </is>
      </c>
      <c r="E1245" t="inlineStr">
        <is>
          <t>NORRKÖPING</t>
        </is>
      </c>
      <c r="G1245" t="n">
        <v>1.5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s="2" t="inlineStr"/>
    </row>
    <row r="1246" ht="15" customHeight="1">
      <c r="A1246" t="inlineStr">
        <is>
          <t>A 39437-2019</t>
        </is>
      </c>
      <c r="B1246" s="1" t="n">
        <v>43691</v>
      </c>
      <c r="C1246" s="1" t="n">
        <v>45211</v>
      </c>
      <c r="D1246" t="inlineStr">
        <is>
          <t>ÖSTERGÖTLANDS LÄN</t>
        </is>
      </c>
      <c r="E1246" t="inlineStr">
        <is>
          <t>NORRKÖPING</t>
        </is>
      </c>
      <c r="G1246" t="n">
        <v>3.1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s="2" t="inlineStr"/>
    </row>
    <row r="1247" ht="15" customHeight="1">
      <c r="A1247" t="inlineStr">
        <is>
          <t>A 40188-2019</t>
        </is>
      </c>
      <c r="B1247" s="1" t="n">
        <v>43691</v>
      </c>
      <c r="C1247" s="1" t="n">
        <v>45211</v>
      </c>
      <c r="D1247" t="inlineStr">
        <is>
          <t>ÖSTERGÖTLANDS LÄN</t>
        </is>
      </c>
      <c r="E1247" t="inlineStr">
        <is>
          <t>LINKÖPING</t>
        </is>
      </c>
      <c r="G1247" t="n">
        <v>5.2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s="2" t="inlineStr"/>
    </row>
    <row r="1248" ht="15" customHeight="1">
      <c r="A1248" t="inlineStr">
        <is>
          <t>A 39999-2019</t>
        </is>
      </c>
      <c r="B1248" s="1" t="n">
        <v>43692</v>
      </c>
      <c r="C1248" s="1" t="n">
        <v>45211</v>
      </c>
      <c r="D1248" t="inlineStr">
        <is>
          <t>ÖSTERGÖTLANDS LÄN</t>
        </is>
      </c>
      <c r="E1248" t="inlineStr">
        <is>
          <t>LINKÖPING</t>
        </is>
      </c>
      <c r="G1248" t="n">
        <v>0.3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s="2" t="inlineStr"/>
    </row>
    <row r="1249" ht="15" customHeight="1">
      <c r="A1249" t="inlineStr">
        <is>
          <t>A 39781-2019</t>
        </is>
      </c>
      <c r="B1249" s="1" t="n">
        <v>43692</v>
      </c>
      <c r="C1249" s="1" t="n">
        <v>45211</v>
      </c>
      <c r="D1249" t="inlineStr">
        <is>
          <t>ÖSTERGÖTLANDS LÄN</t>
        </is>
      </c>
      <c r="E1249" t="inlineStr">
        <is>
          <t>LINKÖPING</t>
        </is>
      </c>
      <c r="G1249" t="n">
        <v>2.9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s="2" t="inlineStr"/>
    </row>
    <row r="1250" ht="15" customHeight="1">
      <c r="A1250" t="inlineStr">
        <is>
          <t>A 39876-2019</t>
        </is>
      </c>
      <c r="B1250" s="1" t="n">
        <v>43692</v>
      </c>
      <c r="C1250" s="1" t="n">
        <v>45211</v>
      </c>
      <c r="D1250" t="inlineStr">
        <is>
          <t>ÖSTERGÖTLANDS LÄN</t>
        </is>
      </c>
      <c r="E1250" t="inlineStr">
        <is>
          <t>YDRE</t>
        </is>
      </c>
      <c r="G1250" t="n">
        <v>0.6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s="2" t="inlineStr"/>
    </row>
    <row r="1251" ht="15" customHeight="1">
      <c r="A1251" t="inlineStr">
        <is>
          <t>A 39831-2019</t>
        </is>
      </c>
      <c r="B1251" s="1" t="n">
        <v>43692</v>
      </c>
      <c r="C1251" s="1" t="n">
        <v>45211</v>
      </c>
      <c r="D1251" t="inlineStr">
        <is>
          <t>ÖSTERGÖTLANDS LÄN</t>
        </is>
      </c>
      <c r="E1251" t="inlineStr">
        <is>
          <t>MOTALA</t>
        </is>
      </c>
      <c r="G1251" t="n">
        <v>0.7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s="2" t="inlineStr"/>
    </row>
    <row r="1252" ht="15" customHeight="1">
      <c r="A1252" t="inlineStr">
        <is>
          <t>A 40750-2019</t>
        </is>
      </c>
      <c r="B1252" s="1" t="n">
        <v>43692</v>
      </c>
      <c r="C1252" s="1" t="n">
        <v>45211</v>
      </c>
      <c r="D1252" t="inlineStr">
        <is>
          <t>ÖSTERGÖTLANDS LÄN</t>
        </is>
      </c>
      <c r="E1252" t="inlineStr">
        <is>
          <t>MOTALA</t>
        </is>
      </c>
      <c r="G1252" t="n">
        <v>3.4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s="2" t="inlineStr"/>
    </row>
    <row r="1253" ht="15" customHeight="1">
      <c r="A1253" t="inlineStr">
        <is>
          <t>A 39878-2019</t>
        </is>
      </c>
      <c r="B1253" s="1" t="n">
        <v>43692</v>
      </c>
      <c r="C1253" s="1" t="n">
        <v>45211</v>
      </c>
      <c r="D1253" t="inlineStr">
        <is>
          <t>ÖSTERGÖTLANDS LÄN</t>
        </is>
      </c>
      <c r="E1253" t="inlineStr">
        <is>
          <t>YDRE</t>
        </is>
      </c>
      <c r="G1253" t="n">
        <v>17.7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s="2" t="inlineStr"/>
    </row>
    <row r="1254" ht="15" customHeight="1">
      <c r="A1254" t="inlineStr">
        <is>
          <t>A 39998-2019</t>
        </is>
      </c>
      <c r="B1254" s="1" t="n">
        <v>43692</v>
      </c>
      <c r="C1254" s="1" t="n">
        <v>45211</v>
      </c>
      <c r="D1254" t="inlineStr">
        <is>
          <t>ÖSTERGÖTLANDS LÄN</t>
        </is>
      </c>
      <c r="E1254" t="inlineStr">
        <is>
          <t>LINKÖPING</t>
        </is>
      </c>
      <c r="G1254" t="n">
        <v>0.3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s="2" t="inlineStr"/>
    </row>
    <row r="1255" ht="15" customHeight="1">
      <c r="A1255" t="inlineStr">
        <is>
          <t>A 40316-2019</t>
        </is>
      </c>
      <c r="B1255" s="1" t="n">
        <v>43696</v>
      </c>
      <c r="C1255" s="1" t="n">
        <v>45211</v>
      </c>
      <c r="D1255" t="inlineStr">
        <is>
          <t>ÖSTERGÖTLANDS LÄN</t>
        </is>
      </c>
      <c r="E1255" t="inlineStr">
        <is>
          <t>KINDA</t>
        </is>
      </c>
      <c r="G1255" t="n">
        <v>0.7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s="2" t="inlineStr"/>
    </row>
    <row r="1256" ht="15" customHeight="1">
      <c r="A1256" t="inlineStr">
        <is>
          <t>A 40375-2019</t>
        </is>
      </c>
      <c r="B1256" s="1" t="n">
        <v>43696</v>
      </c>
      <c r="C1256" s="1" t="n">
        <v>45211</v>
      </c>
      <c r="D1256" t="inlineStr">
        <is>
          <t>ÖSTERGÖTLANDS LÄN</t>
        </is>
      </c>
      <c r="E1256" t="inlineStr">
        <is>
          <t>NORRKÖPING</t>
        </is>
      </c>
      <c r="G1256" t="n">
        <v>0.9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s="2" t="inlineStr"/>
    </row>
    <row r="1257" ht="15" customHeight="1">
      <c r="A1257" t="inlineStr">
        <is>
          <t>A 40438-2019</t>
        </is>
      </c>
      <c r="B1257" s="1" t="n">
        <v>43696</v>
      </c>
      <c r="C1257" s="1" t="n">
        <v>45211</v>
      </c>
      <c r="D1257" t="inlineStr">
        <is>
          <t>ÖSTERGÖTLANDS LÄN</t>
        </is>
      </c>
      <c r="E1257" t="inlineStr">
        <is>
          <t>SÖDERKÖPING</t>
        </is>
      </c>
      <c r="G1257" t="n">
        <v>5.9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s="2" t="inlineStr"/>
    </row>
    <row r="1258" ht="15" customHeight="1">
      <c r="A1258" t="inlineStr">
        <is>
          <t>A 40442-2019</t>
        </is>
      </c>
      <c r="B1258" s="1" t="n">
        <v>43696</v>
      </c>
      <c r="C1258" s="1" t="n">
        <v>45211</v>
      </c>
      <c r="D1258" t="inlineStr">
        <is>
          <t>ÖSTERGÖTLANDS LÄN</t>
        </is>
      </c>
      <c r="E1258" t="inlineStr">
        <is>
          <t>LINKÖPING</t>
        </is>
      </c>
      <c r="G1258" t="n">
        <v>0.9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s="2" t="inlineStr"/>
    </row>
    <row r="1259" ht="15" customHeight="1">
      <c r="A1259" t="inlineStr">
        <is>
          <t>A 40567-2019</t>
        </is>
      </c>
      <c r="B1259" s="1" t="n">
        <v>43696</v>
      </c>
      <c r="C1259" s="1" t="n">
        <v>45211</v>
      </c>
      <c r="D1259" t="inlineStr">
        <is>
          <t>ÖSTERGÖTLANDS LÄN</t>
        </is>
      </c>
      <c r="E1259" t="inlineStr">
        <is>
          <t>KINDA</t>
        </is>
      </c>
      <c r="G1259" t="n">
        <v>0.4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s="2" t="inlineStr"/>
    </row>
    <row r="1260" ht="15" customHeight="1">
      <c r="A1260" t="inlineStr">
        <is>
          <t>A 40573-2019</t>
        </is>
      </c>
      <c r="B1260" s="1" t="n">
        <v>43696</v>
      </c>
      <c r="C1260" s="1" t="n">
        <v>45211</v>
      </c>
      <c r="D1260" t="inlineStr">
        <is>
          <t>ÖSTERGÖTLANDS LÄN</t>
        </is>
      </c>
      <c r="E1260" t="inlineStr">
        <is>
          <t>BOXHOLM</t>
        </is>
      </c>
      <c r="F1260" t="inlineStr">
        <is>
          <t>Övriga Aktiebolag</t>
        </is>
      </c>
      <c r="G1260" t="n">
        <v>2.4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s="2" t="inlineStr"/>
    </row>
    <row r="1261" ht="15" customHeight="1">
      <c r="A1261" t="inlineStr">
        <is>
          <t>A 40608-2019</t>
        </is>
      </c>
      <c r="B1261" s="1" t="n">
        <v>43696</v>
      </c>
      <c r="C1261" s="1" t="n">
        <v>45211</v>
      </c>
      <c r="D1261" t="inlineStr">
        <is>
          <t>ÖSTERGÖTLANDS LÄN</t>
        </is>
      </c>
      <c r="E1261" t="inlineStr">
        <is>
          <t>ÖDESHÖG</t>
        </is>
      </c>
      <c r="G1261" t="n">
        <v>2.5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s="2" t="inlineStr"/>
    </row>
    <row r="1262" ht="15" customHeight="1">
      <c r="A1262" t="inlineStr">
        <is>
          <t>A 40624-2019</t>
        </is>
      </c>
      <c r="B1262" s="1" t="n">
        <v>43696</v>
      </c>
      <c r="C1262" s="1" t="n">
        <v>45211</v>
      </c>
      <c r="D1262" t="inlineStr">
        <is>
          <t>ÖSTERGÖTLANDS LÄN</t>
        </is>
      </c>
      <c r="E1262" t="inlineStr">
        <is>
          <t>FINSPÅNG</t>
        </is>
      </c>
      <c r="F1262" t="inlineStr">
        <is>
          <t>Holmen skog AB</t>
        </is>
      </c>
      <c r="G1262" t="n">
        <v>0.8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s="2" t="inlineStr"/>
    </row>
    <row r="1263" ht="15" customHeight="1">
      <c r="A1263" t="inlineStr">
        <is>
          <t>A 40570-2019</t>
        </is>
      </c>
      <c r="B1263" s="1" t="n">
        <v>43696</v>
      </c>
      <c r="C1263" s="1" t="n">
        <v>45211</v>
      </c>
      <c r="D1263" t="inlineStr">
        <is>
          <t>ÖSTERGÖTLANDS LÄN</t>
        </is>
      </c>
      <c r="E1263" t="inlineStr">
        <is>
          <t>BOXHOLM</t>
        </is>
      </c>
      <c r="F1263" t="inlineStr">
        <is>
          <t>Övriga Aktiebolag</t>
        </is>
      </c>
      <c r="G1263" t="n">
        <v>5.2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s="2" t="inlineStr"/>
    </row>
    <row r="1264" ht="15" customHeight="1">
      <c r="A1264" t="inlineStr">
        <is>
          <t>A 40312-2019</t>
        </is>
      </c>
      <c r="B1264" s="1" t="n">
        <v>43696</v>
      </c>
      <c r="C1264" s="1" t="n">
        <v>45211</v>
      </c>
      <c r="D1264" t="inlineStr">
        <is>
          <t>ÖSTERGÖTLANDS LÄN</t>
        </is>
      </c>
      <c r="E1264" t="inlineStr">
        <is>
          <t>KINDA</t>
        </is>
      </c>
      <c r="G1264" t="n">
        <v>0.8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s="2" t="inlineStr"/>
    </row>
    <row r="1265" ht="15" customHeight="1">
      <c r="A1265" t="inlineStr">
        <is>
          <t>A 40394-2019</t>
        </is>
      </c>
      <c r="B1265" s="1" t="n">
        <v>43696</v>
      </c>
      <c r="C1265" s="1" t="n">
        <v>45211</v>
      </c>
      <c r="D1265" t="inlineStr">
        <is>
          <t>ÖSTERGÖTLANDS LÄN</t>
        </is>
      </c>
      <c r="E1265" t="inlineStr">
        <is>
          <t>FINSPÅNG</t>
        </is>
      </c>
      <c r="G1265" t="n">
        <v>5.1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s="2" t="inlineStr"/>
    </row>
    <row r="1266" ht="15" customHeight="1">
      <c r="A1266" t="inlineStr">
        <is>
          <t>A 40559-2019</t>
        </is>
      </c>
      <c r="B1266" s="1" t="n">
        <v>43696</v>
      </c>
      <c r="C1266" s="1" t="n">
        <v>45211</v>
      </c>
      <c r="D1266" t="inlineStr">
        <is>
          <t>ÖSTERGÖTLANDS LÄN</t>
        </is>
      </c>
      <c r="E1266" t="inlineStr">
        <is>
          <t>BOXHOLM</t>
        </is>
      </c>
      <c r="F1266" t="inlineStr">
        <is>
          <t>Övriga Aktiebolag</t>
        </is>
      </c>
      <c r="G1266" t="n">
        <v>1.1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s="2" t="inlineStr"/>
    </row>
    <row r="1267" ht="15" customHeight="1">
      <c r="A1267" t="inlineStr">
        <is>
          <t>A 40650-2019</t>
        </is>
      </c>
      <c r="B1267" s="1" t="n">
        <v>43696</v>
      </c>
      <c r="C1267" s="1" t="n">
        <v>45211</v>
      </c>
      <c r="D1267" t="inlineStr">
        <is>
          <t>ÖSTERGÖTLANDS LÄN</t>
        </is>
      </c>
      <c r="E1267" t="inlineStr">
        <is>
          <t>BOXHOLM</t>
        </is>
      </c>
      <c r="G1267" t="n">
        <v>4.9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s="2" t="inlineStr"/>
    </row>
    <row r="1268" ht="15" customHeight="1">
      <c r="A1268" t="inlineStr">
        <is>
          <t>A 41907-2019</t>
        </is>
      </c>
      <c r="B1268" s="1" t="n">
        <v>43697</v>
      </c>
      <c r="C1268" s="1" t="n">
        <v>45211</v>
      </c>
      <c r="D1268" t="inlineStr">
        <is>
          <t>ÖSTERGÖTLANDS LÄN</t>
        </is>
      </c>
      <c r="E1268" t="inlineStr">
        <is>
          <t>SÖDERKÖPING</t>
        </is>
      </c>
      <c r="G1268" t="n">
        <v>1.1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s="2" t="inlineStr"/>
    </row>
    <row r="1269" ht="15" customHeight="1">
      <c r="A1269" t="inlineStr">
        <is>
          <t>A 40837-2019</t>
        </is>
      </c>
      <c r="B1269" s="1" t="n">
        <v>43697</v>
      </c>
      <c r="C1269" s="1" t="n">
        <v>45211</v>
      </c>
      <c r="D1269" t="inlineStr">
        <is>
          <t>ÖSTERGÖTLANDS LÄN</t>
        </is>
      </c>
      <c r="E1269" t="inlineStr">
        <is>
          <t>VALDEMARSVIK</t>
        </is>
      </c>
      <c r="F1269" t="inlineStr">
        <is>
          <t>Övriga Aktiebolag</t>
        </is>
      </c>
      <c r="G1269" t="n">
        <v>2.3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s="2" t="inlineStr"/>
    </row>
    <row r="1270" ht="15" customHeight="1">
      <c r="A1270" t="inlineStr">
        <is>
          <t>A 40889-2019</t>
        </is>
      </c>
      <c r="B1270" s="1" t="n">
        <v>43697</v>
      </c>
      <c r="C1270" s="1" t="n">
        <v>45211</v>
      </c>
      <c r="D1270" t="inlineStr">
        <is>
          <t>ÖSTERGÖTLANDS LÄN</t>
        </is>
      </c>
      <c r="E1270" t="inlineStr">
        <is>
          <t>NORRKÖPING</t>
        </is>
      </c>
      <c r="G1270" t="n">
        <v>3.4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s="2" t="inlineStr"/>
    </row>
    <row r="1271" ht="15" customHeight="1">
      <c r="A1271" t="inlineStr">
        <is>
          <t>A 40908-2019</t>
        </is>
      </c>
      <c r="B1271" s="1" t="n">
        <v>43697</v>
      </c>
      <c r="C1271" s="1" t="n">
        <v>45211</v>
      </c>
      <c r="D1271" t="inlineStr">
        <is>
          <t>ÖSTERGÖTLANDS LÄN</t>
        </is>
      </c>
      <c r="E1271" t="inlineStr">
        <is>
          <t>NORRKÖPING</t>
        </is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s="2" t="inlineStr"/>
    </row>
    <row r="1272" ht="15" customHeight="1">
      <c r="A1272" t="inlineStr">
        <is>
          <t>A 40928-2019</t>
        </is>
      </c>
      <c r="B1272" s="1" t="n">
        <v>43697</v>
      </c>
      <c r="C1272" s="1" t="n">
        <v>45211</v>
      </c>
      <c r="D1272" t="inlineStr">
        <is>
          <t>ÖSTERGÖTLANDS LÄN</t>
        </is>
      </c>
      <c r="E1272" t="inlineStr">
        <is>
          <t>NORRKÖPING</t>
        </is>
      </c>
      <c r="G1272" t="n">
        <v>0.8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s="2" t="inlineStr"/>
    </row>
    <row r="1273" ht="15" customHeight="1">
      <c r="A1273" t="inlineStr">
        <is>
          <t>A 41005-2019</t>
        </is>
      </c>
      <c r="B1273" s="1" t="n">
        <v>43697</v>
      </c>
      <c r="C1273" s="1" t="n">
        <v>45211</v>
      </c>
      <c r="D1273" t="inlineStr">
        <is>
          <t>ÖSTERGÖTLANDS LÄN</t>
        </is>
      </c>
      <c r="E1273" t="inlineStr">
        <is>
          <t>BOXHOLM</t>
        </is>
      </c>
      <c r="G1273" t="n">
        <v>2.3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s="2" t="inlineStr"/>
    </row>
    <row r="1274" ht="15" customHeight="1">
      <c r="A1274" t="inlineStr">
        <is>
          <t>A 41903-2019</t>
        </is>
      </c>
      <c r="B1274" s="1" t="n">
        <v>43697</v>
      </c>
      <c r="C1274" s="1" t="n">
        <v>45211</v>
      </c>
      <c r="D1274" t="inlineStr">
        <is>
          <t>ÖSTERGÖTLANDS LÄN</t>
        </is>
      </c>
      <c r="E1274" t="inlineStr">
        <is>
          <t>SÖDERKÖPING</t>
        </is>
      </c>
      <c r="G1274" t="n">
        <v>1.1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s="2" t="inlineStr"/>
    </row>
    <row r="1275" ht="15" customHeight="1">
      <c r="A1275" t="inlineStr">
        <is>
          <t>A 40834-2019</t>
        </is>
      </c>
      <c r="B1275" s="1" t="n">
        <v>43697</v>
      </c>
      <c r="C1275" s="1" t="n">
        <v>45211</v>
      </c>
      <c r="D1275" t="inlineStr">
        <is>
          <t>ÖSTERGÖTLANDS LÄN</t>
        </is>
      </c>
      <c r="E1275" t="inlineStr">
        <is>
          <t>VALDEMARSVIK</t>
        </is>
      </c>
      <c r="F1275" t="inlineStr">
        <is>
          <t>Övriga Aktiebolag</t>
        </is>
      </c>
      <c r="G1275" t="n">
        <v>6.8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s="2" t="inlineStr"/>
    </row>
    <row r="1276" ht="15" customHeight="1">
      <c r="A1276" t="inlineStr">
        <is>
          <t>A 40985-2019</t>
        </is>
      </c>
      <c r="B1276" s="1" t="n">
        <v>43697</v>
      </c>
      <c r="C1276" s="1" t="n">
        <v>45211</v>
      </c>
      <c r="D1276" t="inlineStr">
        <is>
          <t>ÖSTERGÖTLANDS LÄN</t>
        </is>
      </c>
      <c r="E1276" t="inlineStr">
        <is>
          <t>SÖDERKÖPING</t>
        </is>
      </c>
      <c r="G1276" t="n">
        <v>0.6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s="2" t="inlineStr"/>
    </row>
    <row r="1277" ht="15" customHeight="1">
      <c r="A1277" t="inlineStr">
        <is>
          <t>A 41127-2019</t>
        </is>
      </c>
      <c r="B1277" s="1" t="n">
        <v>43698</v>
      </c>
      <c r="C1277" s="1" t="n">
        <v>45211</v>
      </c>
      <c r="D1277" t="inlineStr">
        <is>
          <t>ÖSTERGÖTLANDS LÄN</t>
        </is>
      </c>
      <c r="E1277" t="inlineStr">
        <is>
          <t>SÖDERKÖPING</t>
        </is>
      </c>
      <c r="G1277" t="n">
        <v>1.1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s="2" t="inlineStr"/>
    </row>
    <row r="1278" ht="15" customHeight="1">
      <c r="A1278" t="inlineStr">
        <is>
          <t>A 41148-2019</t>
        </is>
      </c>
      <c r="B1278" s="1" t="n">
        <v>43698</v>
      </c>
      <c r="C1278" s="1" t="n">
        <v>45211</v>
      </c>
      <c r="D1278" t="inlineStr">
        <is>
          <t>ÖSTERGÖTLANDS LÄN</t>
        </is>
      </c>
      <c r="E1278" t="inlineStr">
        <is>
          <t>MOTALA</t>
        </is>
      </c>
      <c r="G1278" t="n">
        <v>3.6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s="2" t="inlineStr"/>
    </row>
    <row r="1279" ht="15" customHeight="1">
      <c r="A1279" t="inlineStr">
        <is>
          <t>A 41274-2019</t>
        </is>
      </c>
      <c r="B1279" s="1" t="n">
        <v>43698</v>
      </c>
      <c r="C1279" s="1" t="n">
        <v>45211</v>
      </c>
      <c r="D1279" t="inlineStr">
        <is>
          <t>ÖSTERGÖTLANDS LÄN</t>
        </is>
      </c>
      <c r="E1279" t="inlineStr">
        <is>
          <t>LINKÖPING</t>
        </is>
      </c>
      <c r="G1279" t="n">
        <v>4.5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s="2" t="inlineStr"/>
    </row>
    <row r="1280" ht="15" customHeight="1">
      <c r="A1280" t="inlineStr">
        <is>
          <t>A 41432-2019</t>
        </is>
      </c>
      <c r="B1280" s="1" t="n">
        <v>43698</v>
      </c>
      <c r="C1280" s="1" t="n">
        <v>45211</v>
      </c>
      <c r="D1280" t="inlineStr">
        <is>
          <t>ÖSTERGÖTLANDS LÄN</t>
        </is>
      </c>
      <c r="E1280" t="inlineStr">
        <is>
          <t>MOTALA</t>
        </is>
      </c>
      <c r="G1280" t="n">
        <v>3.9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s="2" t="inlineStr"/>
    </row>
    <row r="1281" ht="15" customHeight="1">
      <c r="A1281" t="inlineStr">
        <is>
          <t>A 41261-2019</t>
        </is>
      </c>
      <c r="B1281" s="1" t="n">
        <v>43698</v>
      </c>
      <c r="C1281" s="1" t="n">
        <v>45211</v>
      </c>
      <c r="D1281" t="inlineStr">
        <is>
          <t>ÖSTERGÖTLANDS LÄN</t>
        </is>
      </c>
      <c r="E1281" t="inlineStr">
        <is>
          <t>KINDA</t>
        </is>
      </c>
      <c r="G1281" t="n">
        <v>1.7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s="2" t="inlineStr"/>
    </row>
    <row r="1282" ht="15" customHeight="1">
      <c r="A1282" t="inlineStr">
        <is>
          <t>A 41434-2019</t>
        </is>
      </c>
      <c r="B1282" s="1" t="n">
        <v>43698</v>
      </c>
      <c r="C1282" s="1" t="n">
        <v>45211</v>
      </c>
      <c r="D1282" t="inlineStr">
        <is>
          <t>ÖSTERGÖTLANDS LÄN</t>
        </is>
      </c>
      <c r="E1282" t="inlineStr">
        <is>
          <t>MOTALA</t>
        </is>
      </c>
      <c r="G1282" t="n">
        <v>1.5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s="2" t="inlineStr"/>
    </row>
    <row r="1283" ht="15" customHeight="1">
      <c r="A1283" t="inlineStr">
        <is>
          <t>A 41118-2019</t>
        </is>
      </c>
      <c r="B1283" s="1" t="n">
        <v>43698</v>
      </c>
      <c r="C1283" s="1" t="n">
        <v>45211</v>
      </c>
      <c r="D1283" t="inlineStr">
        <is>
          <t>ÖSTERGÖTLANDS LÄN</t>
        </is>
      </c>
      <c r="E1283" t="inlineStr">
        <is>
          <t>FINSPÅNG</t>
        </is>
      </c>
      <c r="G1283" t="n">
        <v>2.1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s="2" t="inlineStr"/>
    </row>
    <row r="1284" ht="15" customHeight="1">
      <c r="A1284" t="inlineStr">
        <is>
          <t>A 41265-2019</t>
        </is>
      </c>
      <c r="B1284" s="1" t="n">
        <v>43698</v>
      </c>
      <c r="C1284" s="1" t="n">
        <v>45211</v>
      </c>
      <c r="D1284" t="inlineStr">
        <is>
          <t>ÖSTERGÖTLANDS LÄN</t>
        </is>
      </c>
      <c r="E1284" t="inlineStr">
        <is>
          <t>KINDA</t>
        </is>
      </c>
      <c r="G1284" t="n">
        <v>7.8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s="2" t="inlineStr"/>
    </row>
    <row r="1285" ht="15" customHeight="1">
      <c r="A1285" t="inlineStr">
        <is>
          <t>A 41303-2019</t>
        </is>
      </c>
      <c r="B1285" s="1" t="n">
        <v>43698</v>
      </c>
      <c r="C1285" s="1" t="n">
        <v>45211</v>
      </c>
      <c r="D1285" t="inlineStr">
        <is>
          <t>ÖSTERGÖTLANDS LÄN</t>
        </is>
      </c>
      <c r="E1285" t="inlineStr">
        <is>
          <t>FINSPÅNG</t>
        </is>
      </c>
      <c r="G1285" t="n">
        <v>2.7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s="2" t="inlineStr"/>
    </row>
    <row r="1286" ht="15" customHeight="1">
      <c r="A1286" t="inlineStr">
        <is>
          <t>A 42272-2019</t>
        </is>
      </c>
      <c r="B1286" s="1" t="n">
        <v>43698</v>
      </c>
      <c r="C1286" s="1" t="n">
        <v>45211</v>
      </c>
      <c r="D1286" t="inlineStr">
        <is>
          <t>ÖSTERGÖTLANDS LÄN</t>
        </is>
      </c>
      <c r="E1286" t="inlineStr">
        <is>
          <t>KINDA</t>
        </is>
      </c>
      <c r="G1286" t="n">
        <v>5.5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s="2" t="inlineStr"/>
    </row>
    <row r="1287" ht="15" customHeight="1">
      <c r="A1287" t="inlineStr">
        <is>
          <t>A 41515-2019</t>
        </is>
      </c>
      <c r="B1287" s="1" t="n">
        <v>43699</v>
      </c>
      <c r="C1287" s="1" t="n">
        <v>45211</v>
      </c>
      <c r="D1287" t="inlineStr">
        <is>
          <t>ÖSTERGÖTLANDS LÄN</t>
        </is>
      </c>
      <c r="E1287" t="inlineStr">
        <is>
          <t>FINSPÅNG</t>
        </is>
      </c>
      <c r="F1287" t="inlineStr">
        <is>
          <t>Holmen skog AB</t>
        </is>
      </c>
      <c r="G1287" t="n">
        <v>0.3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s="2" t="inlineStr"/>
    </row>
    <row r="1288" ht="15" customHeight="1">
      <c r="A1288" t="inlineStr">
        <is>
          <t>A 41516-2019</t>
        </is>
      </c>
      <c r="B1288" s="1" t="n">
        <v>43699</v>
      </c>
      <c r="C1288" s="1" t="n">
        <v>45211</v>
      </c>
      <c r="D1288" t="inlineStr">
        <is>
          <t>ÖSTERGÖTLANDS LÄN</t>
        </is>
      </c>
      <c r="E1288" t="inlineStr">
        <is>
          <t>FINSPÅNG</t>
        </is>
      </c>
      <c r="F1288" t="inlineStr">
        <is>
          <t>Holmen skog AB</t>
        </is>
      </c>
      <c r="G1288" t="n">
        <v>0.4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s="2" t="inlineStr"/>
    </row>
    <row r="1289" ht="15" customHeight="1">
      <c r="A1289" t="inlineStr">
        <is>
          <t>A 42495-2019</t>
        </is>
      </c>
      <c r="B1289" s="1" t="n">
        <v>43699</v>
      </c>
      <c r="C1289" s="1" t="n">
        <v>45211</v>
      </c>
      <c r="D1289" t="inlineStr">
        <is>
          <t>ÖSTERGÖTLANDS LÄN</t>
        </is>
      </c>
      <c r="E1289" t="inlineStr">
        <is>
          <t>YDRE</t>
        </is>
      </c>
      <c r="G1289" t="n">
        <v>2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s="2" t="inlineStr"/>
    </row>
    <row r="1290" ht="15" customHeight="1">
      <c r="A1290" t="inlineStr">
        <is>
          <t>A 42593-2019</t>
        </is>
      </c>
      <c r="B1290" s="1" t="n">
        <v>43699</v>
      </c>
      <c r="C1290" s="1" t="n">
        <v>45211</v>
      </c>
      <c r="D1290" t="inlineStr">
        <is>
          <t>ÖSTERGÖTLANDS LÄN</t>
        </is>
      </c>
      <c r="E1290" t="inlineStr">
        <is>
          <t>ÖDESHÖG</t>
        </is>
      </c>
      <c r="G1290" t="n">
        <v>17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s="2" t="inlineStr"/>
    </row>
    <row r="1291" ht="15" customHeight="1">
      <c r="A1291" t="inlineStr">
        <is>
          <t>A 45152-2019</t>
        </is>
      </c>
      <c r="B1291" s="1" t="n">
        <v>43699</v>
      </c>
      <c r="C1291" s="1" t="n">
        <v>45211</v>
      </c>
      <c r="D1291" t="inlineStr">
        <is>
          <t>ÖSTERGÖTLANDS LÄN</t>
        </is>
      </c>
      <c r="E1291" t="inlineStr">
        <is>
          <t>ÖDESHÖG</t>
        </is>
      </c>
      <c r="G1291" t="n">
        <v>2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s="2" t="inlineStr"/>
    </row>
    <row r="1292" ht="15" customHeight="1">
      <c r="A1292" t="inlineStr">
        <is>
          <t>A 41658-2019</t>
        </is>
      </c>
      <c r="B1292" s="1" t="n">
        <v>43699</v>
      </c>
      <c r="C1292" s="1" t="n">
        <v>45211</v>
      </c>
      <c r="D1292" t="inlineStr">
        <is>
          <t>ÖSTERGÖTLANDS LÄN</t>
        </is>
      </c>
      <c r="E1292" t="inlineStr">
        <is>
          <t>KINDA</t>
        </is>
      </c>
      <c r="G1292" t="n">
        <v>0.5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s="2" t="inlineStr"/>
    </row>
    <row r="1293" ht="15" customHeight="1">
      <c r="A1293" t="inlineStr">
        <is>
          <t>A 41800-2019</t>
        </is>
      </c>
      <c r="B1293" s="1" t="n">
        <v>43700</v>
      </c>
      <c r="C1293" s="1" t="n">
        <v>45211</v>
      </c>
      <c r="D1293" t="inlineStr">
        <is>
          <t>ÖSTERGÖTLANDS LÄN</t>
        </is>
      </c>
      <c r="E1293" t="inlineStr">
        <is>
          <t>NORRKÖPING</t>
        </is>
      </c>
      <c r="G1293" t="n">
        <v>5.1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s="2" t="inlineStr"/>
    </row>
    <row r="1294" ht="15" customHeight="1">
      <c r="A1294" t="inlineStr">
        <is>
          <t>A 41938-2019</t>
        </is>
      </c>
      <c r="B1294" s="1" t="n">
        <v>43700</v>
      </c>
      <c r="C1294" s="1" t="n">
        <v>45211</v>
      </c>
      <c r="D1294" t="inlineStr">
        <is>
          <t>ÖSTERGÖTLANDS LÄN</t>
        </is>
      </c>
      <c r="E1294" t="inlineStr">
        <is>
          <t>ÖDESHÖG</t>
        </is>
      </c>
      <c r="G1294" t="n">
        <v>3.5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s="2" t="inlineStr"/>
    </row>
    <row r="1295" ht="15" customHeight="1">
      <c r="A1295" t="inlineStr">
        <is>
          <t>A 41801-2019</t>
        </is>
      </c>
      <c r="B1295" s="1" t="n">
        <v>43700</v>
      </c>
      <c r="C1295" s="1" t="n">
        <v>45211</v>
      </c>
      <c r="D1295" t="inlineStr">
        <is>
          <t>ÖSTERGÖTLANDS LÄN</t>
        </is>
      </c>
      <c r="E1295" t="inlineStr">
        <is>
          <t>ÅTVIDABERG</t>
        </is>
      </c>
      <c r="G1295" t="n">
        <v>2.4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s="2" t="inlineStr"/>
    </row>
    <row r="1296" ht="15" customHeight="1">
      <c r="A1296" t="inlineStr">
        <is>
          <t>A 41874-2019</t>
        </is>
      </c>
      <c r="B1296" s="1" t="n">
        <v>43700</v>
      </c>
      <c r="C1296" s="1" t="n">
        <v>45211</v>
      </c>
      <c r="D1296" t="inlineStr">
        <is>
          <t>ÖSTERGÖTLANDS LÄN</t>
        </is>
      </c>
      <c r="E1296" t="inlineStr">
        <is>
          <t>LINKÖPING</t>
        </is>
      </c>
      <c r="F1296" t="inlineStr">
        <is>
          <t>Övriga Aktiebolag</t>
        </is>
      </c>
      <c r="G1296" t="n">
        <v>1.6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s="2" t="inlineStr"/>
    </row>
    <row r="1297" ht="15" customHeight="1">
      <c r="A1297" t="inlineStr">
        <is>
          <t>A 41932-2019</t>
        </is>
      </c>
      <c r="B1297" s="1" t="n">
        <v>43700</v>
      </c>
      <c r="C1297" s="1" t="n">
        <v>45211</v>
      </c>
      <c r="D1297" t="inlineStr">
        <is>
          <t>ÖSTERGÖTLANDS LÄN</t>
        </is>
      </c>
      <c r="E1297" t="inlineStr">
        <is>
          <t>ÖDESHÖG</t>
        </is>
      </c>
      <c r="G1297" t="n">
        <v>0.6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s="2" t="inlineStr"/>
    </row>
    <row r="1298" ht="15" customHeight="1">
      <c r="A1298" t="inlineStr">
        <is>
          <t>A 41944-2019</t>
        </is>
      </c>
      <c r="B1298" s="1" t="n">
        <v>43700</v>
      </c>
      <c r="C1298" s="1" t="n">
        <v>45211</v>
      </c>
      <c r="D1298" t="inlineStr">
        <is>
          <t>ÖSTERGÖTLANDS LÄN</t>
        </is>
      </c>
      <c r="E1298" t="inlineStr">
        <is>
          <t>FINSPÅNG</t>
        </is>
      </c>
      <c r="G1298" t="n">
        <v>1.6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s="2" t="inlineStr"/>
    </row>
    <row r="1299" ht="15" customHeight="1">
      <c r="A1299" t="inlineStr">
        <is>
          <t>A 41846-2019</t>
        </is>
      </c>
      <c r="B1299" s="1" t="n">
        <v>43700</v>
      </c>
      <c r="C1299" s="1" t="n">
        <v>45211</v>
      </c>
      <c r="D1299" t="inlineStr">
        <is>
          <t>ÖSTERGÖTLANDS LÄN</t>
        </is>
      </c>
      <c r="E1299" t="inlineStr">
        <is>
          <t>FINSPÅNG</t>
        </is>
      </c>
      <c r="F1299" t="inlineStr">
        <is>
          <t>Holmen skog AB</t>
        </is>
      </c>
      <c r="G1299" t="n">
        <v>0.2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s="2" t="inlineStr"/>
    </row>
    <row r="1300" ht="15" customHeight="1">
      <c r="A1300" t="inlineStr">
        <is>
          <t>A 42082-2019</t>
        </is>
      </c>
      <c r="B1300" s="1" t="n">
        <v>43701</v>
      </c>
      <c r="C1300" s="1" t="n">
        <v>45211</v>
      </c>
      <c r="D1300" t="inlineStr">
        <is>
          <t>ÖSTERGÖTLANDS LÄN</t>
        </is>
      </c>
      <c r="E1300" t="inlineStr">
        <is>
          <t>LINKÖPING</t>
        </is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s="2" t="inlineStr"/>
    </row>
    <row r="1301" ht="15" customHeight="1">
      <c r="A1301" t="inlineStr">
        <is>
          <t>A 42103-2019</t>
        </is>
      </c>
      <c r="B1301" s="1" t="n">
        <v>43702</v>
      </c>
      <c r="C1301" s="1" t="n">
        <v>45211</v>
      </c>
      <c r="D1301" t="inlineStr">
        <is>
          <t>ÖSTERGÖTLANDS LÄN</t>
        </is>
      </c>
      <c r="E1301" t="inlineStr">
        <is>
          <t>KINDA</t>
        </is>
      </c>
      <c r="G1301" t="n">
        <v>2.2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s="2" t="inlineStr"/>
    </row>
    <row r="1302" ht="15" customHeight="1">
      <c r="A1302" t="inlineStr">
        <is>
          <t>A 42276-2019</t>
        </is>
      </c>
      <c r="B1302" s="1" t="n">
        <v>43703</v>
      </c>
      <c r="C1302" s="1" t="n">
        <v>45211</v>
      </c>
      <c r="D1302" t="inlineStr">
        <is>
          <t>ÖSTERGÖTLANDS LÄN</t>
        </is>
      </c>
      <c r="E1302" t="inlineStr">
        <is>
          <t>LINKÖPING</t>
        </is>
      </c>
      <c r="F1302" t="inlineStr">
        <is>
          <t>Övriga Aktiebolag</t>
        </is>
      </c>
      <c r="G1302" t="n">
        <v>0.8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s="2" t="inlineStr"/>
    </row>
    <row r="1303" ht="15" customHeight="1">
      <c r="A1303" t="inlineStr">
        <is>
          <t>A 43331-2019</t>
        </is>
      </c>
      <c r="B1303" s="1" t="n">
        <v>43703</v>
      </c>
      <c r="C1303" s="1" t="n">
        <v>45211</v>
      </c>
      <c r="D1303" t="inlineStr">
        <is>
          <t>ÖSTERGÖTLANDS LÄN</t>
        </is>
      </c>
      <c r="E1303" t="inlineStr">
        <is>
          <t>KINDA</t>
        </is>
      </c>
      <c r="G1303" t="n">
        <v>2.5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s="2" t="inlineStr"/>
    </row>
    <row r="1304" ht="15" customHeight="1">
      <c r="A1304" t="inlineStr">
        <is>
          <t>A 42608-2019</t>
        </is>
      </c>
      <c r="B1304" s="1" t="n">
        <v>43704</v>
      </c>
      <c r="C1304" s="1" t="n">
        <v>45211</v>
      </c>
      <c r="D1304" t="inlineStr">
        <is>
          <t>ÖSTERGÖTLANDS LÄN</t>
        </is>
      </c>
      <c r="E1304" t="inlineStr">
        <is>
          <t>FINSPÅNG</t>
        </is>
      </c>
      <c r="G1304" t="n">
        <v>0.4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s="2" t="inlineStr"/>
    </row>
    <row r="1305" ht="15" customHeight="1">
      <c r="A1305" t="inlineStr">
        <is>
          <t>A 42617-2019</t>
        </is>
      </c>
      <c r="B1305" s="1" t="n">
        <v>43704</v>
      </c>
      <c r="C1305" s="1" t="n">
        <v>45211</v>
      </c>
      <c r="D1305" t="inlineStr">
        <is>
          <t>ÖSTERGÖTLANDS LÄN</t>
        </is>
      </c>
      <c r="E1305" t="inlineStr">
        <is>
          <t>FINSPÅNG</t>
        </is>
      </c>
      <c r="G1305" t="n">
        <v>5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s="2" t="inlineStr"/>
    </row>
    <row r="1306" ht="15" customHeight="1">
      <c r="A1306" t="inlineStr">
        <is>
          <t>A 42728-2019</t>
        </is>
      </c>
      <c r="B1306" s="1" t="n">
        <v>43704</v>
      </c>
      <c r="C1306" s="1" t="n">
        <v>45211</v>
      </c>
      <c r="D1306" t="inlineStr">
        <is>
          <t>ÖSTERGÖTLANDS LÄN</t>
        </is>
      </c>
      <c r="E1306" t="inlineStr">
        <is>
          <t>FINSPÅNG</t>
        </is>
      </c>
      <c r="G1306" t="n">
        <v>2.2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s="2" t="inlineStr"/>
    </row>
    <row r="1307" ht="15" customHeight="1">
      <c r="A1307" t="inlineStr">
        <is>
          <t>A 42748-2019</t>
        </is>
      </c>
      <c r="B1307" s="1" t="n">
        <v>43704</v>
      </c>
      <c r="C1307" s="1" t="n">
        <v>45211</v>
      </c>
      <c r="D1307" t="inlineStr">
        <is>
          <t>ÖSTERGÖTLANDS LÄN</t>
        </is>
      </c>
      <c r="E1307" t="inlineStr">
        <is>
          <t>FINSPÅNG</t>
        </is>
      </c>
      <c r="G1307" t="n">
        <v>1.9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s="2" t="inlineStr"/>
    </row>
    <row r="1308" ht="15" customHeight="1">
      <c r="A1308" t="inlineStr">
        <is>
          <t>A 42648-2019</t>
        </is>
      </c>
      <c r="B1308" s="1" t="n">
        <v>43704</v>
      </c>
      <c r="C1308" s="1" t="n">
        <v>45211</v>
      </c>
      <c r="D1308" t="inlineStr">
        <is>
          <t>ÖSTERGÖTLANDS LÄN</t>
        </is>
      </c>
      <c r="E1308" t="inlineStr">
        <is>
          <t>FINSPÅNG</t>
        </is>
      </c>
      <c r="G1308" t="n">
        <v>2.8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s="2" t="inlineStr"/>
    </row>
    <row r="1309" ht="15" customHeight="1">
      <c r="A1309" t="inlineStr">
        <is>
          <t>A 42756-2019</t>
        </is>
      </c>
      <c r="B1309" s="1" t="n">
        <v>43704</v>
      </c>
      <c r="C1309" s="1" t="n">
        <v>45211</v>
      </c>
      <c r="D1309" t="inlineStr">
        <is>
          <t>ÖSTERGÖTLANDS LÄN</t>
        </is>
      </c>
      <c r="E1309" t="inlineStr">
        <is>
          <t>FINSPÅNG</t>
        </is>
      </c>
      <c r="G1309" t="n">
        <v>0.7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s="2" t="inlineStr"/>
    </row>
    <row r="1310" ht="15" customHeight="1">
      <c r="A1310" t="inlineStr">
        <is>
          <t>A 42612-2019</t>
        </is>
      </c>
      <c r="B1310" s="1" t="n">
        <v>43704</v>
      </c>
      <c r="C1310" s="1" t="n">
        <v>45211</v>
      </c>
      <c r="D1310" t="inlineStr">
        <is>
          <t>ÖSTERGÖTLANDS LÄN</t>
        </is>
      </c>
      <c r="E1310" t="inlineStr">
        <is>
          <t>FINSPÅNG</t>
        </is>
      </c>
      <c r="G1310" t="n">
        <v>4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s="2" t="inlineStr"/>
    </row>
    <row r="1311" ht="15" customHeight="1">
      <c r="A1311" t="inlineStr">
        <is>
          <t>A 42623-2019</t>
        </is>
      </c>
      <c r="B1311" s="1" t="n">
        <v>43704</v>
      </c>
      <c r="C1311" s="1" t="n">
        <v>45211</v>
      </c>
      <c r="D1311" t="inlineStr">
        <is>
          <t>ÖSTERGÖTLANDS LÄN</t>
        </is>
      </c>
      <c r="E1311" t="inlineStr">
        <is>
          <t>FINSPÅNG</t>
        </is>
      </c>
      <c r="G1311" t="n">
        <v>0.8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s="2" t="inlineStr"/>
    </row>
    <row r="1312" ht="15" customHeight="1">
      <c r="A1312" t="inlineStr">
        <is>
          <t>A 42755-2019</t>
        </is>
      </c>
      <c r="B1312" s="1" t="n">
        <v>43704</v>
      </c>
      <c r="C1312" s="1" t="n">
        <v>45211</v>
      </c>
      <c r="D1312" t="inlineStr">
        <is>
          <t>ÖSTERGÖTLANDS LÄN</t>
        </is>
      </c>
      <c r="E1312" t="inlineStr">
        <is>
          <t>FINSPÅNG</t>
        </is>
      </c>
      <c r="G1312" t="n">
        <v>5.3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s="2" t="inlineStr"/>
    </row>
    <row r="1313" ht="15" customHeight="1">
      <c r="A1313" t="inlineStr">
        <is>
          <t>A 42493-2019</t>
        </is>
      </c>
      <c r="B1313" s="1" t="n">
        <v>43704</v>
      </c>
      <c r="C1313" s="1" t="n">
        <v>45211</v>
      </c>
      <c r="D1313" t="inlineStr">
        <is>
          <t>ÖSTERGÖTLANDS LÄN</t>
        </is>
      </c>
      <c r="E1313" t="inlineStr">
        <is>
          <t>ÅTVIDABERG</t>
        </is>
      </c>
      <c r="F1313" t="inlineStr">
        <is>
          <t>Övriga Aktiebolag</t>
        </is>
      </c>
      <c r="G1313" t="n">
        <v>9.4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s="2" t="inlineStr"/>
    </row>
    <row r="1314" ht="15" customHeight="1">
      <c r="A1314" t="inlineStr">
        <is>
          <t>A 42546-2019</t>
        </is>
      </c>
      <c r="B1314" s="1" t="n">
        <v>43704</v>
      </c>
      <c r="C1314" s="1" t="n">
        <v>45211</v>
      </c>
      <c r="D1314" t="inlineStr">
        <is>
          <t>ÖSTERGÖTLANDS LÄN</t>
        </is>
      </c>
      <c r="E1314" t="inlineStr">
        <is>
          <t>LINKÖPING</t>
        </is>
      </c>
      <c r="F1314" t="inlineStr">
        <is>
          <t>Övriga Aktiebolag</t>
        </is>
      </c>
      <c r="G1314" t="n">
        <v>0.9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s="2" t="inlineStr"/>
    </row>
    <row r="1315" ht="15" customHeight="1">
      <c r="A1315" t="inlineStr">
        <is>
          <t>A 42606-2019</t>
        </is>
      </c>
      <c r="B1315" s="1" t="n">
        <v>43704</v>
      </c>
      <c r="C1315" s="1" t="n">
        <v>45211</v>
      </c>
      <c r="D1315" t="inlineStr">
        <is>
          <t>ÖSTERGÖTLANDS LÄN</t>
        </is>
      </c>
      <c r="E1315" t="inlineStr">
        <is>
          <t>MOTALA</t>
        </is>
      </c>
      <c r="G1315" t="n">
        <v>1.8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s="2" t="inlineStr"/>
    </row>
    <row r="1316" ht="15" customHeight="1">
      <c r="A1316" t="inlineStr">
        <is>
          <t>A 42683-2019</t>
        </is>
      </c>
      <c r="B1316" s="1" t="n">
        <v>43704</v>
      </c>
      <c r="C1316" s="1" t="n">
        <v>45211</v>
      </c>
      <c r="D1316" t="inlineStr">
        <is>
          <t>ÖSTERGÖTLANDS LÄN</t>
        </is>
      </c>
      <c r="E1316" t="inlineStr">
        <is>
          <t>FINSPÅNG</t>
        </is>
      </c>
      <c r="G1316" t="n">
        <v>0.6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s="2" t="inlineStr"/>
    </row>
    <row r="1317" ht="15" customHeight="1">
      <c r="A1317" t="inlineStr">
        <is>
          <t>A 42699-2019</t>
        </is>
      </c>
      <c r="B1317" s="1" t="n">
        <v>43704</v>
      </c>
      <c r="C1317" s="1" t="n">
        <v>45211</v>
      </c>
      <c r="D1317" t="inlineStr">
        <is>
          <t>ÖSTERGÖTLANDS LÄN</t>
        </is>
      </c>
      <c r="E1317" t="inlineStr">
        <is>
          <t>MJÖLBY</t>
        </is>
      </c>
      <c r="G1317" t="n">
        <v>0.8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s="2" t="inlineStr"/>
    </row>
    <row r="1318" ht="15" customHeight="1">
      <c r="A1318" t="inlineStr">
        <is>
          <t>A 42757-2019</t>
        </is>
      </c>
      <c r="B1318" s="1" t="n">
        <v>43704</v>
      </c>
      <c r="C1318" s="1" t="n">
        <v>45211</v>
      </c>
      <c r="D1318" t="inlineStr">
        <is>
          <t>ÖSTERGÖTLANDS LÄN</t>
        </is>
      </c>
      <c r="E1318" t="inlineStr">
        <is>
          <t>FINSPÅNG</t>
        </is>
      </c>
      <c r="G1318" t="n">
        <v>2.2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s="2" t="inlineStr"/>
    </row>
    <row r="1319" ht="15" customHeight="1">
      <c r="A1319" t="inlineStr">
        <is>
          <t>A 42885-2019</t>
        </is>
      </c>
      <c r="B1319" s="1" t="n">
        <v>43705</v>
      </c>
      <c r="C1319" s="1" t="n">
        <v>45211</v>
      </c>
      <c r="D1319" t="inlineStr">
        <is>
          <t>ÖSTERGÖTLANDS LÄN</t>
        </is>
      </c>
      <c r="E1319" t="inlineStr">
        <is>
          <t>SÖDERKÖPING</t>
        </is>
      </c>
      <c r="G1319" t="n">
        <v>0.7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s="2" t="inlineStr"/>
    </row>
    <row r="1320" ht="15" customHeight="1">
      <c r="A1320" t="inlineStr">
        <is>
          <t>A 42901-2019</t>
        </is>
      </c>
      <c r="B1320" s="1" t="n">
        <v>43705</v>
      </c>
      <c r="C1320" s="1" t="n">
        <v>45211</v>
      </c>
      <c r="D1320" t="inlineStr">
        <is>
          <t>ÖSTERGÖTLANDS LÄN</t>
        </is>
      </c>
      <c r="E1320" t="inlineStr">
        <is>
          <t>NORRKÖPING</t>
        </is>
      </c>
      <c r="G1320" t="n">
        <v>0.5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s="2" t="inlineStr"/>
    </row>
    <row r="1321" ht="15" customHeight="1">
      <c r="A1321" t="inlineStr">
        <is>
          <t>A 43000-2019</t>
        </is>
      </c>
      <c r="B1321" s="1" t="n">
        <v>43705</v>
      </c>
      <c r="C1321" s="1" t="n">
        <v>45211</v>
      </c>
      <c r="D1321" t="inlineStr">
        <is>
          <t>ÖSTERGÖTLANDS LÄN</t>
        </is>
      </c>
      <c r="E1321" t="inlineStr">
        <is>
          <t>FINSPÅNG</t>
        </is>
      </c>
      <c r="G1321" t="n">
        <v>1.8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s="2" t="inlineStr"/>
    </row>
    <row r="1322" ht="15" customHeight="1">
      <c r="A1322" t="inlineStr">
        <is>
          <t>A 43050-2019</t>
        </is>
      </c>
      <c r="B1322" s="1" t="n">
        <v>43705</v>
      </c>
      <c r="C1322" s="1" t="n">
        <v>45211</v>
      </c>
      <c r="D1322" t="inlineStr">
        <is>
          <t>ÖSTERGÖTLANDS LÄN</t>
        </is>
      </c>
      <c r="E1322" t="inlineStr">
        <is>
          <t>MOTALA</t>
        </is>
      </c>
      <c r="G1322" t="n">
        <v>1.6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s="2" t="inlineStr"/>
    </row>
    <row r="1323" ht="15" customHeight="1">
      <c r="A1323" t="inlineStr">
        <is>
          <t>A 43114-2019</t>
        </is>
      </c>
      <c r="B1323" s="1" t="n">
        <v>43705</v>
      </c>
      <c r="C1323" s="1" t="n">
        <v>45211</v>
      </c>
      <c r="D1323" t="inlineStr">
        <is>
          <t>ÖSTERGÖTLANDS LÄN</t>
        </is>
      </c>
      <c r="E1323" t="inlineStr">
        <is>
          <t>NORRKÖPING</t>
        </is>
      </c>
      <c r="G1323" t="n">
        <v>1.1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s="2" t="inlineStr"/>
    </row>
    <row r="1324" ht="15" customHeight="1">
      <c r="A1324" t="inlineStr">
        <is>
          <t>A 43033-2019</t>
        </is>
      </c>
      <c r="B1324" s="1" t="n">
        <v>43705</v>
      </c>
      <c r="C1324" s="1" t="n">
        <v>45211</v>
      </c>
      <c r="D1324" t="inlineStr">
        <is>
          <t>ÖSTERGÖTLANDS LÄN</t>
        </is>
      </c>
      <c r="E1324" t="inlineStr">
        <is>
          <t>MOTALA</t>
        </is>
      </c>
      <c r="G1324" t="n">
        <v>1.9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s="2" t="inlineStr"/>
    </row>
    <row r="1325" ht="15" customHeight="1">
      <c r="A1325" t="inlineStr">
        <is>
          <t>A 43070-2019</t>
        </is>
      </c>
      <c r="B1325" s="1" t="n">
        <v>43705</v>
      </c>
      <c r="C1325" s="1" t="n">
        <v>45211</v>
      </c>
      <c r="D1325" t="inlineStr">
        <is>
          <t>ÖSTERGÖTLANDS LÄN</t>
        </is>
      </c>
      <c r="E1325" t="inlineStr">
        <is>
          <t>MOTALA</t>
        </is>
      </c>
      <c r="G1325" t="n">
        <v>0.9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s="2" t="inlineStr"/>
    </row>
    <row r="1326" ht="15" customHeight="1">
      <c r="A1326" t="inlineStr">
        <is>
          <t>A 42891-2019</t>
        </is>
      </c>
      <c r="B1326" s="1" t="n">
        <v>43705</v>
      </c>
      <c r="C1326" s="1" t="n">
        <v>45211</v>
      </c>
      <c r="D1326" t="inlineStr">
        <is>
          <t>ÖSTERGÖTLANDS LÄN</t>
        </is>
      </c>
      <c r="E1326" t="inlineStr">
        <is>
          <t>SÖDERKÖPING</t>
        </is>
      </c>
      <c r="G1326" t="n">
        <v>1.5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s="2" t="inlineStr"/>
    </row>
    <row r="1327" ht="15" customHeight="1">
      <c r="A1327" t="inlineStr">
        <is>
          <t>A 43155-2019</t>
        </is>
      </c>
      <c r="B1327" s="1" t="n">
        <v>43705</v>
      </c>
      <c r="C1327" s="1" t="n">
        <v>45211</v>
      </c>
      <c r="D1327" t="inlineStr">
        <is>
          <t>ÖSTERGÖTLANDS LÄN</t>
        </is>
      </c>
      <c r="E1327" t="inlineStr">
        <is>
          <t>FINSPÅNG</t>
        </is>
      </c>
      <c r="G1327" t="n">
        <v>1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s="2" t="inlineStr"/>
    </row>
    <row r="1328" ht="15" customHeight="1">
      <c r="A1328" t="inlineStr">
        <is>
          <t>A 43162-2019</t>
        </is>
      </c>
      <c r="B1328" s="1" t="n">
        <v>43705</v>
      </c>
      <c r="C1328" s="1" t="n">
        <v>45211</v>
      </c>
      <c r="D1328" t="inlineStr">
        <is>
          <t>ÖSTERGÖTLANDS LÄN</t>
        </is>
      </c>
      <c r="E1328" t="inlineStr">
        <is>
          <t>YDRE</t>
        </is>
      </c>
      <c r="G1328" t="n">
        <v>0.9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s="2" t="inlineStr"/>
    </row>
    <row r="1329" ht="15" customHeight="1">
      <c r="A1329" t="inlineStr">
        <is>
          <t>A 42840-2019</t>
        </is>
      </c>
      <c r="B1329" s="1" t="n">
        <v>43705</v>
      </c>
      <c r="C1329" s="1" t="n">
        <v>45211</v>
      </c>
      <c r="D1329" t="inlineStr">
        <is>
          <t>ÖSTERGÖTLANDS LÄN</t>
        </is>
      </c>
      <c r="E1329" t="inlineStr">
        <is>
          <t>MOTALA</t>
        </is>
      </c>
      <c r="F1329" t="inlineStr">
        <is>
          <t>Holmen skog AB</t>
        </is>
      </c>
      <c r="G1329" t="n">
        <v>1.5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s="2" t="inlineStr"/>
    </row>
    <row r="1330" ht="15" customHeight="1">
      <c r="A1330" t="inlineStr">
        <is>
          <t>A 42931-2019</t>
        </is>
      </c>
      <c r="B1330" s="1" t="n">
        <v>43705</v>
      </c>
      <c r="C1330" s="1" t="n">
        <v>45211</v>
      </c>
      <c r="D1330" t="inlineStr">
        <is>
          <t>ÖSTERGÖTLANDS LÄN</t>
        </is>
      </c>
      <c r="E1330" t="inlineStr">
        <is>
          <t>SÖDERKÖPING</t>
        </is>
      </c>
      <c r="G1330" t="n">
        <v>3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s="2" t="inlineStr"/>
    </row>
    <row r="1331" ht="15" customHeight="1">
      <c r="A1331" t="inlineStr">
        <is>
          <t>A 43027-2019</t>
        </is>
      </c>
      <c r="B1331" s="1" t="n">
        <v>43705</v>
      </c>
      <c r="C1331" s="1" t="n">
        <v>45211</v>
      </c>
      <c r="D1331" t="inlineStr">
        <is>
          <t>ÖSTERGÖTLANDS LÄN</t>
        </is>
      </c>
      <c r="E1331" t="inlineStr">
        <is>
          <t>FINSPÅNG</t>
        </is>
      </c>
      <c r="F1331" t="inlineStr">
        <is>
          <t>Holmen skog AB</t>
        </is>
      </c>
      <c r="G1331" t="n">
        <v>0.5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s="2" t="inlineStr"/>
    </row>
    <row r="1332" ht="15" customHeight="1">
      <c r="A1332" t="inlineStr">
        <is>
          <t>A 44243-2019</t>
        </is>
      </c>
      <c r="B1332" s="1" t="n">
        <v>43705</v>
      </c>
      <c r="C1332" s="1" t="n">
        <v>45211</v>
      </c>
      <c r="D1332" t="inlineStr">
        <is>
          <t>ÖSTERGÖTLANDS LÄN</t>
        </is>
      </c>
      <c r="E1332" t="inlineStr">
        <is>
          <t>KINDA</t>
        </is>
      </c>
      <c r="G1332" t="n">
        <v>4.9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s="2" t="inlineStr"/>
    </row>
    <row r="1333" ht="15" customHeight="1">
      <c r="A1333" t="inlineStr">
        <is>
          <t>A 43302-2019</t>
        </is>
      </c>
      <c r="B1333" s="1" t="n">
        <v>43706</v>
      </c>
      <c r="C1333" s="1" t="n">
        <v>45211</v>
      </c>
      <c r="D1333" t="inlineStr">
        <is>
          <t>ÖSTERGÖTLANDS LÄN</t>
        </is>
      </c>
      <c r="E1333" t="inlineStr">
        <is>
          <t>KINDA</t>
        </is>
      </c>
      <c r="G1333" t="n">
        <v>0.6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s="2" t="inlineStr"/>
    </row>
    <row r="1334" ht="15" customHeight="1">
      <c r="A1334" t="inlineStr">
        <is>
          <t>A 43481-2019</t>
        </is>
      </c>
      <c r="B1334" s="1" t="n">
        <v>43706</v>
      </c>
      <c r="C1334" s="1" t="n">
        <v>45211</v>
      </c>
      <c r="D1334" t="inlineStr">
        <is>
          <t>ÖSTERGÖTLANDS LÄN</t>
        </is>
      </c>
      <c r="E1334" t="inlineStr">
        <is>
          <t>LINKÖPING</t>
        </is>
      </c>
      <c r="G1334" t="n">
        <v>0.5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s="2" t="inlineStr"/>
    </row>
    <row r="1335" ht="15" customHeight="1">
      <c r="A1335" t="inlineStr">
        <is>
          <t>A 43439-2019</t>
        </is>
      </c>
      <c r="B1335" s="1" t="n">
        <v>43706</v>
      </c>
      <c r="C1335" s="1" t="n">
        <v>45211</v>
      </c>
      <c r="D1335" t="inlineStr">
        <is>
          <t>ÖSTERGÖTLANDS LÄN</t>
        </is>
      </c>
      <c r="E1335" t="inlineStr">
        <is>
          <t>SÖDERKÖPING</t>
        </is>
      </c>
      <c r="G1335" t="n">
        <v>0.5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s="2" t="inlineStr"/>
    </row>
    <row r="1336" ht="15" customHeight="1">
      <c r="A1336" t="inlineStr">
        <is>
          <t>A 43568-2019</t>
        </is>
      </c>
      <c r="B1336" s="1" t="n">
        <v>43706</v>
      </c>
      <c r="C1336" s="1" t="n">
        <v>45211</v>
      </c>
      <c r="D1336" t="inlineStr">
        <is>
          <t>ÖSTERGÖTLANDS LÄN</t>
        </is>
      </c>
      <c r="E1336" t="inlineStr">
        <is>
          <t>MOTALA</t>
        </is>
      </c>
      <c r="G1336" t="n">
        <v>4.3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s="2" t="inlineStr"/>
    </row>
    <row r="1337" ht="15" customHeight="1">
      <c r="A1337" t="inlineStr">
        <is>
          <t>A 43680-2019</t>
        </is>
      </c>
      <c r="B1337" s="1" t="n">
        <v>43707</v>
      </c>
      <c r="C1337" s="1" t="n">
        <v>45211</v>
      </c>
      <c r="D1337" t="inlineStr">
        <is>
          <t>ÖSTERGÖTLANDS LÄN</t>
        </is>
      </c>
      <c r="E1337" t="inlineStr">
        <is>
          <t>KINDA</t>
        </is>
      </c>
      <c r="G1337" t="n">
        <v>10.2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s="2" t="inlineStr"/>
    </row>
    <row r="1338" ht="15" customHeight="1">
      <c r="A1338" t="inlineStr">
        <is>
          <t>A 45059-2019</t>
        </is>
      </c>
      <c r="B1338" s="1" t="n">
        <v>43707</v>
      </c>
      <c r="C1338" s="1" t="n">
        <v>45211</v>
      </c>
      <c r="D1338" t="inlineStr">
        <is>
          <t>ÖSTERGÖTLANDS LÄN</t>
        </is>
      </c>
      <c r="E1338" t="inlineStr">
        <is>
          <t>MOTALA</t>
        </is>
      </c>
      <c r="G1338" t="n">
        <v>5.9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s="2" t="inlineStr"/>
    </row>
    <row r="1339" ht="15" customHeight="1">
      <c r="A1339" t="inlineStr">
        <is>
          <t>A 43712-2019</t>
        </is>
      </c>
      <c r="B1339" s="1" t="n">
        <v>43707</v>
      </c>
      <c r="C1339" s="1" t="n">
        <v>45211</v>
      </c>
      <c r="D1339" t="inlineStr">
        <is>
          <t>ÖSTERGÖTLANDS LÄN</t>
        </is>
      </c>
      <c r="E1339" t="inlineStr">
        <is>
          <t>KINDA</t>
        </is>
      </c>
      <c r="G1339" t="n">
        <v>13.5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s="2" t="inlineStr"/>
    </row>
    <row r="1340" ht="15" customHeight="1">
      <c r="A1340" t="inlineStr">
        <is>
          <t>A 43641-2019</t>
        </is>
      </c>
      <c r="B1340" s="1" t="n">
        <v>43707</v>
      </c>
      <c r="C1340" s="1" t="n">
        <v>45211</v>
      </c>
      <c r="D1340" t="inlineStr">
        <is>
          <t>ÖSTERGÖTLANDS LÄN</t>
        </is>
      </c>
      <c r="E1340" t="inlineStr">
        <is>
          <t>ÖDESHÖG</t>
        </is>
      </c>
      <c r="G1340" t="n">
        <v>1.1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s="2" t="inlineStr"/>
    </row>
    <row r="1341" ht="15" customHeight="1">
      <c r="A1341" t="inlineStr">
        <is>
          <t>A 43798-2019</t>
        </is>
      </c>
      <c r="B1341" s="1" t="n">
        <v>43707</v>
      </c>
      <c r="C1341" s="1" t="n">
        <v>45211</v>
      </c>
      <c r="D1341" t="inlineStr">
        <is>
          <t>ÖSTERGÖTLANDS LÄN</t>
        </is>
      </c>
      <c r="E1341" t="inlineStr">
        <is>
          <t>LINKÖPING</t>
        </is>
      </c>
      <c r="G1341" t="n">
        <v>0.8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s="2" t="inlineStr"/>
    </row>
    <row r="1342" ht="15" customHeight="1">
      <c r="A1342" t="inlineStr">
        <is>
          <t>A 43918-2019</t>
        </is>
      </c>
      <c r="B1342" s="1" t="n">
        <v>43707</v>
      </c>
      <c r="C1342" s="1" t="n">
        <v>45211</v>
      </c>
      <c r="D1342" t="inlineStr">
        <is>
          <t>ÖSTERGÖTLANDS LÄN</t>
        </is>
      </c>
      <c r="E1342" t="inlineStr">
        <is>
          <t>NORRKÖPING</t>
        </is>
      </c>
      <c r="F1342" t="inlineStr">
        <is>
          <t>Holmen skog AB</t>
        </is>
      </c>
      <c r="G1342" t="n">
        <v>2.4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s="2" t="inlineStr"/>
    </row>
    <row r="1343" ht="15" customHeight="1">
      <c r="A1343" t="inlineStr">
        <is>
          <t>A 43931-2019</t>
        </is>
      </c>
      <c r="B1343" s="1" t="n">
        <v>43707</v>
      </c>
      <c r="C1343" s="1" t="n">
        <v>45211</v>
      </c>
      <c r="D1343" t="inlineStr">
        <is>
          <t>ÖSTERGÖTLANDS LÄN</t>
        </is>
      </c>
      <c r="E1343" t="inlineStr">
        <is>
          <t>MOTALA</t>
        </is>
      </c>
      <c r="G1343" t="n">
        <v>5.5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s="2" t="inlineStr"/>
    </row>
    <row r="1344" ht="15" customHeight="1">
      <c r="A1344" t="inlineStr">
        <is>
          <t>A 43764-2019</t>
        </is>
      </c>
      <c r="B1344" s="1" t="n">
        <v>43707</v>
      </c>
      <c r="C1344" s="1" t="n">
        <v>45211</v>
      </c>
      <c r="D1344" t="inlineStr">
        <is>
          <t>ÖSTERGÖTLANDS LÄN</t>
        </is>
      </c>
      <c r="E1344" t="inlineStr">
        <is>
          <t>SÖDERKÖPING</t>
        </is>
      </c>
      <c r="G1344" t="n">
        <v>1.1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s="2" t="inlineStr"/>
    </row>
    <row r="1345" ht="15" customHeight="1">
      <c r="A1345" t="inlineStr">
        <is>
          <t>A 43792-2019</t>
        </is>
      </c>
      <c r="B1345" s="1" t="n">
        <v>43707</v>
      </c>
      <c r="C1345" s="1" t="n">
        <v>45211</v>
      </c>
      <c r="D1345" t="inlineStr">
        <is>
          <t>ÖSTERGÖTLANDS LÄN</t>
        </is>
      </c>
      <c r="E1345" t="inlineStr">
        <is>
          <t>LINKÖPING</t>
        </is>
      </c>
      <c r="G1345" t="n">
        <v>0.5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s="2" t="inlineStr"/>
    </row>
    <row r="1346" ht="15" customHeight="1">
      <c r="A1346" t="inlineStr">
        <is>
          <t>A 43803-2019</t>
        </is>
      </c>
      <c r="B1346" s="1" t="n">
        <v>43707</v>
      </c>
      <c r="C1346" s="1" t="n">
        <v>45211</v>
      </c>
      <c r="D1346" t="inlineStr">
        <is>
          <t>ÖSTERGÖTLANDS LÄN</t>
        </is>
      </c>
      <c r="E1346" t="inlineStr">
        <is>
          <t>LINKÖPING</t>
        </is>
      </c>
      <c r="G1346" t="n">
        <v>1.8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s="2" t="inlineStr"/>
    </row>
    <row r="1347" ht="15" customHeight="1">
      <c r="A1347" t="inlineStr">
        <is>
          <t>A 43813-2019</t>
        </is>
      </c>
      <c r="B1347" s="1" t="n">
        <v>43707</v>
      </c>
      <c r="C1347" s="1" t="n">
        <v>45211</v>
      </c>
      <c r="D1347" t="inlineStr">
        <is>
          <t>ÖSTERGÖTLANDS LÄN</t>
        </is>
      </c>
      <c r="E1347" t="inlineStr">
        <is>
          <t>NORRKÖPING</t>
        </is>
      </c>
      <c r="G1347" t="n">
        <v>7.6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s="2" t="inlineStr"/>
    </row>
    <row r="1348" ht="15" customHeight="1">
      <c r="A1348" t="inlineStr">
        <is>
          <t>A 43979-2019</t>
        </is>
      </c>
      <c r="B1348" s="1" t="n">
        <v>43709</v>
      </c>
      <c r="C1348" s="1" t="n">
        <v>45211</v>
      </c>
      <c r="D1348" t="inlineStr">
        <is>
          <t>ÖSTERGÖTLANDS LÄN</t>
        </is>
      </c>
      <c r="E1348" t="inlineStr">
        <is>
          <t>LINKÖPING</t>
        </is>
      </c>
      <c r="G1348" t="n">
        <v>4.2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s="2" t="inlineStr"/>
    </row>
    <row r="1349" ht="15" customHeight="1">
      <c r="A1349" t="inlineStr">
        <is>
          <t>A 44206-2019</t>
        </is>
      </c>
      <c r="B1349" s="1" t="n">
        <v>43710</v>
      </c>
      <c r="C1349" s="1" t="n">
        <v>45211</v>
      </c>
      <c r="D1349" t="inlineStr">
        <is>
          <t>ÖSTERGÖTLANDS LÄN</t>
        </is>
      </c>
      <c r="E1349" t="inlineStr">
        <is>
          <t>MOTALA</t>
        </is>
      </c>
      <c r="F1349" t="inlineStr">
        <is>
          <t>Sveaskog</t>
        </is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s="2" t="inlineStr"/>
    </row>
    <row r="1350" ht="15" customHeight="1">
      <c r="A1350" t="inlineStr">
        <is>
          <t>A 44274-2019</t>
        </is>
      </c>
      <c r="B1350" s="1" t="n">
        <v>43710</v>
      </c>
      <c r="C1350" s="1" t="n">
        <v>45211</v>
      </c>
      <c r="D1350" t="inlineStr">
        <is>
          <t>ÖSTERGÖTLANDS LÄN</t>
        </is>
      </c>
      <c r="E1350" t="inlineStr">
        <is>
          <t>BOXHOLM</t>
        </is>
      </c>
      <c r="G1350" t="n">
        <v>2.7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s="2" t="inlineStr"/>
    </row>
    <row r="1351" ht="15" customHeight="1">
      <c r="A1351" t="inlineStr">
        <is>
          <t>A 44122-2019</t>
        </is>
      </c>
      <c r="B1351" s="1" t="n">
        <v>43710</v>
      </c>
      <c r="C1351" s="1" t="n">
        <v>45211</v>
      </c>
      <c r="D1351" t="inlineStr">
        <is>
          <t>ÖSTERGÖTLANDS LÄN</t>
        </is>
      </c>
      <c r="E1351" t="inlineStr">
        <is>
          <t>MOTALA</t>
        </is>
      </c>
      <c r="G1351" t="n">
        <v>3.6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s="2" t="inlineStr"/>
    </row>
    <row r="1352" ht="15" customHeight="1">
      <c r="A1352" t="inlineStr">
        <is>
          <t>A 44249-2019</t>
        </is>
      </c>
      <c r="B1352" s="1" t="n">
        <v>43710</v>
      </c>
      <c r="C1352" s="1" t="n">
        <v>45211</v>
      </c>
      <c r="D1352" t="inlineStr">
        <is>
          <t>ÖSTERGÖTLANDS LÄN</t>
        </is>
      </c>
      <c r="E1352" t="inlineStr">
        <is>
          <t>KINDA</t>
        </is>
      </c>
      <c r="G1352" t="n">
        <v>6.9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s="2" t="inlineStr"/>
    </row>
    <row r="1353" ht="15" customHeight="1">
      <c r="A1353" t="inlineStr">
        <is>
          <t>A 44372-2019</t>
        </is>
      </c>
      <c r="B1353" s="1" t="n">
        <v>43711</v>
      </c>
      <c r="C1353" s="1" t="n">
        <v>45211</v>
      </c>
      <c r="D1353" t="inlineStr">
        <is>
          <t>ÖSTERGÖTLANDS LÄN</t>
        </is>
      </c>
      <c r="E1353" t="inlineStr">
        <is>
          <t>KINDA</t>
        </is>
      </c>
      <c r="G1353" t="n">
        <v>1.5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s="2" t="inlineStr"/>
    </row>
    <row r="1354" ht="15" customHeight="1">
      <c r="A1354" t="inlineStr">
        <is>
          <t>A 44445-2019</t>
        </is>
      </c>
      <c r="B1354" s="1" t="n">
        <v>43711</v>
      </c>
      <c r="C1354" s="1" t="n">
        <v>45211</v>
      </c>
      <c r="D1354" t="inlineStr">
        <is>
          <t>ÖSTERGÖTLANDS LÄN</t>
        </is>
      </c>
      <c r="E1354" t="inlineStr">
        <is>
          <t>ÖDESHÖG</t>
        </is>
      </c>
      <c r="G1354" t="n">
        <v>1.3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s="2" t="inlineStr"/>
    </row>
    <row r="1355" ht="15" customHeight="1">
      <c r="A1355" t="inlineStr">
        <is>
          <t>A 44562-2019</t>
        </is>
      </c>
      <c r="B1355" s="1" t="n">
        <v>43711</v>
      </c>
      <c r="C1355" s="1" t="n">
        <v>45211</v>
      </c>
      <c r="D1355" t="inlineStr">
        <is>
          <t>ÖSTERGÖTLANDS LÄN</t>
        </is>
      </c>
      <c r="E1355" t="inlineStr">
        <is>
          <t>ÖDESHÖG</t>
        </is>
      </c>
      <c r="G1355" t="n">
        <v>6.7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s="2" t="inlineStr"/>
    </row>
    <row r="1356" ht="15" customHeight="1">
      <c r="A1356" t="inlineStr">
        <is>
          <t>A 44489-2019</t>
        </is>
      </c>
      <c r="B1356" s="1" t="n">
        <v>43711</v>
      </c>
      <c r="C1356" s="1" t="n">
        <v>45211</v>
      </c>
      <c r="D1356" t="inlineStr">
        <is>
          <t>ÖSTERGÖTLANDS LÄN</t>
        </is>
      </c>
      <c r="E1356" t="inlineStr">
        <is>
          <t>BOXHOLM</t>
        </is>
      </c>
      <c r="G1356" t="n">
        <v>0.5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s="2" t="inlineStr"/>
    </row>
    <row r="1357" ht="15" customHeight="1">
      <c r="A1357" t="inlineStr">
        <is>
          <t>A 44498-2019</t>
        </is>
      </c>
      <c r="B1357" s="1" t="n">
        <v>43711</v>
      </c>
      <c r="C1357" s="1" t="n">
        <v>45211</v>
      </c>
      <c r="D1357" t="inlineStr">
        <is>
          <t>ÖSTERGÖTLANDS LÄN</t>
        </is>
      </c>
      <c r="E1357" t="inlineStr">
        <is>
          <t>ÅTVIDABERG</t>
        </is>
      </c>
      <c r="G1357" t="n">
        <v>8.5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s="2" t="inlineStr"/>
    </row>
    <row r="1358" ht="15" customHeight="1">
      <c r="A1358" t="inlineStr">
        <is>
          <t>A 44331-2019</t>
        </is>
      </c>
      <c r="B1358" s="1" t="n">
        <v>43711</v>
      </c>
      <c r="C1358" s="1" t="n">
        <v>45211</v>
      </c>
      <c r="D1358" t="inlineStr">
        <is>
          <t>ÖSTERGÖTLANDS LÄN</t>
        </is>
      </c>
      <c r="E1358" t="inlineStr">
        <is>
          <t>YDRE</t>
        </is>
      </c>
      <c r="G1358" t="n">
        <v>1.1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s="2" t="inlineStr"/>
    </row>
    <row r="1359" ht="15" customHeight="1">
      <c r="A1359" t="inlineStr">
        <is>
          <t>A 44522-2019</t>
        </is>
      </c>
      <c r="B1359" s="1" t="n">
        <v>43711</v>
      </c>
      <c r="C1359" s="1" t="n">
        <v>45211</v>
      </c>
      <c r="D1359" t="inlineStr">
        <is>
          <t>ÖSTERGÖTLANDS LÄN</t>
        </is>
      </c>
      <c r="E1359" t="inlineStr">
        <is>
          <t>ÅTVIDABERG</t>
        </is>
      </c>
      <c r="G1359" t="n">
        <v>8.4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s="2" t="inlineStr"/>
    </row>
    <row r="1360" ht="15" customHeight="1">
      <c r="A1360" t="inlineStr">
        <is>
          <t>A 44550-2019</t>
        </is>
      </c>
      <c r="B1360" s="1" t="n">
        <v>43711</v>
      </c>
      <c r="C1360" s="1" t="n">
        <v>45211</v>
      </c>
      <c r="D1360" t="inlineStr">
        <is>
          <t>ÖSTERGÖTLANDS LÄN</t>
        </is>
      </c>
      <c r="E1360" t="inlineStr">
        <is>
          <t>MJÖLBY</t>
        </is>
      </c>
      <c r="G1360" t="n">
        <v>4.3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s="2" t="inlineStr"/>
    </row>
    <row r="1361" ht="15" customHeight="1">
      <c r="A1361" t="inlineStr">
        <is>
          <t>A 44622-2019</t>
        </is>
      </c>
      <c r="B1361" s="1" t="n">
        <v>43712</v>
      </c>
      <c r="C1361" s="1" t="n">
        <v>45211</v>
      </c>
      <c r="D1361" t="inlineStr">
        <is>
          <t>ÖSTERGÖTLANDS LÄN</t>
        </is>
      </c>
      <c r="E1361" t="inlineStr">
        <is>
          <t>KINDA</t>
        </is>
      </c>
      <c r="F1361" t="inlineStr">
        <is>
          <t>Sveaskog</t>
        </is>
      </c>
      <c r="G1361" t="n">
        <v>2.5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s="2" t="inlineStr"/>
    </row>
    <row r="1362" ht="15" customHeight="1">
      <c r="A1362" t="inlineStr">
        <is>
          <t>A 44656-2019</t>
        </is>
      </c>
      <c r="B1362" s="1" t="n">
        <v>43712</v>
      </c>
      <c r="C1362" s="1" t="n">
        <v>45211</v>
      </c>
      <c r="D1362" t="inlineStr">
        <is>
          <t>ÖSTERGÖTLANDS LÄN</t>
        </is>
      </c>
      <c r="E1362" t="inlineStr">
        <is>
          <t>YDRE</t>
        </is>
      </c>
      <c r="G1362" t="n">
        <v>1.2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s="2" t="inlineStr"/>
    </row>
    <row r="1363" ht="15" customHeight="1">
      <c r="A1363" t="inlineStr">
        <is>
          <t>A 44738-2019</t>
        </is>
      </c>
      <c r="B1363" s="1" t="n">
        <v>43712</v>
      </c>
      <c r="C1363" s="1" t="n">
        <v>45211</v>
      </c>
      <c r="D1363" t="inlineStr">
        <is>
          <t>ÖSTERGÖTLANDS LÄN</t>
        </is>
      </c>
      <c r="E1363" t="inlineStr">
        <is>
          <t>YDRE</t>
        </is>
      </c>
      <c r="G1363" t="n">
        <v>1.6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s="2" t="inlineStr"/>
    </row>
    <row r="1364" ht="15" customHeight="1">
      <c r="A1364" t="inlineStr">
        <is>
          <t>A 44773-2019</t>
        </is>
      </c>
      <c r="B1364" s="1" t="n">
        <v>43712</v>
      </c>
      <c r="C1364" s="1" t="n">
        <v>45211</v>
      </c>
      <c r="D1364" t="inlineStr">
        <is>
          <t>ÖSTERGÖTLANDS LÄN</t>
        </is>
      </c>
      <c r="E1364" t="inlineStr">
        <is>
          <t>LINKÖPING</t>
        </is>
      </c>
      <c r="G1364" t="n">
        <v>0.7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s="2" t="inlineStr"/>
    </row>
    <row r="1365" ht="15" customHeight="1">
      <c r="A1365" t="inlineStr">
        <is>
          <t>A 45247-2019</t>
        </is>
      </c>
      <c r="B1365" s="1" t="n">
        <v>43713</v>
      </c>
      <c r="C1365" s="1" t="n">
        <v>45211</v>
      </c>
      <c r="D1365" t="inlineStr">
        <is>
          <t>ÖSTERGÖTLANDS LÄN</t>
        </is>
      </c>
      <c r="E1365" t="inlineStr">
        <is>
          <t>YDRE</t>
        </is>
      </c>
      <c r="G1365" t="n">
        <v>0.6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s="2" t="inlineStr"/>
    </row>
    <row r="1366" ht="15" customHeight="1">
      <c r="A1366" t="inlineStr">
        <is>
          <t>A 46184-2019</t>
        </is>
      </c>
      <c r="B1366" s="1" t="n">
        <v>43713</v>
      </c>
      <c r="C1366" s="1" t="n">
        <v>45211</v>
      </c>
      <c r="D1366" t="inlineStr">
        <is>
          <t>ÖSTERGÖTLANDS LÄN</t>
        </is>
      </c>
      <c r="E1366" t="inlineStr">
        <is>
          <t>FINSPÅNG</t>
        </is>
      </c>
      <c r="G1366" t="n">
        <v>3.4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s="2" t="inlineStr"/>
    </row>
    <row r="1367" ht="15" customHeight="1">
      <c r="A1367" t="inlineStr">
        <is>
          <t>A 44938-2019</t>
        </is>
      </c>
      <c r="B1367" s="1" t="n">
        <v>43713</v>
      </c>
      <c r="C1367" s="1" t="n">
        <v>45211</v>
      </c>
      <c r="D1367" t="inlineStr">
        <is>
          <t>ÖSTERGÖTLANDS LÄN</t>
        </is>
      </c>
      <c r="E1367" t="inlineStr">
        <is>
          <t>MOTALA</t>
        </is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s="2" t="inlineStr"/>
    </row>
    <row r="1368" ht="15" customHeight="1">
      <c r="A1368" t="inlineStr">
        <is>
          <t>A 45088-2019</t>
        </is>
      </c>
      <c r="B1368" s="1" t="n">
        <v>43713</v>
      </c>
      <c r="C1368" s="1" t="n">
        <v>45211</v>
      </c>
      <c r="D1368" t="inlineStr">
        <is>
          <t>ÖSTERGÖTLANDS LÄN</t>
        </is>
      </c>
      <c r="E1368" t="inlineStr">
        <is>
          <t>ÅTVIDABERG</t>
        </is>
      </c>
      <c r="G1368" t="n">
        <v>0.2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s="2" t="inlineStr"/>
    </row>
    <row r="1369" ht="15" customHeight="1">
      <c r="A1369" t="inlineStr">
        <is>
          <t>A 45122-2019</t>
        </is>
      </c>
      <c r="B1369" s="1" t="n">
        <v>43713</v>
      </c>
      <c r="C1369" s="1" t="n">
        <v>45211</v>
      </c>
      <c r="D1369" t="inlineStr">
        <is>
          <t>ÖSTERGÖTLANDS LÄN</t>
        </is>
      </c>
      <c r="E1369" t="inlineStr">
        <is>
          <t>FINSPÅNG</t>
        </is>
      </c>
      <c r="G1369" t="n">
        <v>0.7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s="2" t="inlineStr"/>
    </row>
    <row r="1370" ht="15" customHeight="1">
      <c r="A1370" t="inlineStr">
        <is>
          <t>A 45208-2019</t>
        </is>
      </c>
      <c r="B1370" s="1" t="n">
        <v>43713</v>
      </c>
      <c r="C1370" s="1" t="n">
        <v>45211</v>
      </c>
      <c r="D1370" t="inlineStr">
        <is>
          <t>ÖSTERGÖTLANDS LÄN</t>
        </is>
      </c>
      <c r="E1370" t="inlineStr">
        <is>
          <t>MJÖLBY</t>
        </is>
      </c>
      <c r="G1370" t="n">
        <v>1.4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s="2" t="inlineStr"/>
    </row>
    <row r="1371" ht="15" customHeight="1">
      <c r="A1371" t="inlineStr">
        <is>
          <t>A 46124-2019</t>
        </is>
      </c>
      <c r="B1371" s="1" t="n">
        <v>43713</v>
      </c>
      <c r="C1371" s="1" t="n">
        <v>45211</v>
      </c>
      <c r="D1371" t="inlineStr">
        <is>
          <t>ÖSTERGÖTLANDS LÄN</t>
        </is>
      </c>
      <c r="E1371" t="inlineStr">
        <is>
          <t>FINSPÅNG</t>
        </is>
      </c>
      <c r="G1371" t="n">
        <v>4.3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s="2" t="inlineStr"/>
    </row>
    <row r="1372" ht="15" customHeight="1">
      <c r="A1372" t="inlineStr">
        <is>
          <t>A 44947-2019</t>
        </is>
      </c>
      <c r="B1372" s="1" t="n">
        <v>43713</v>
      </c>
      <c r="C1372" s="1" t="n">
        <v>45211</v>
      </c>
      <c r="D1372" t="inlineStr">
        <is>
          <t>ÖSTERGÖTLANDS LÄN</t>
        </is>
      </c>
      <c r="E1372" t="inlineStr">
        <is>
          <t>MOTALA</t>
        </is>
      </c>
      <c r="G1372" t="n">
        <v>1.2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s="2" t="inlineStr"/>
    </row>
    <row r="1373" ht="15" customHeight="1">
      <c r="A1373" t="inlineStr">
        <is>
          <t>A 45127-2019</t>
        </is>
      </c>
      <c r="B1373" s="1" t="n">
        <v>43713</v>
      </c>
      <c r="C1373" s="1" t="n">
        <v>45211</v>
      </c>
      <c r="D1373" t="inlineStr">
        <is>
          <t>ÖSTERGÖTLANDS LÄN</t>
        </is>
      </c>
      <c r="E1373" t="inlineStr">
        <is>
          <t>FINSPÅNG</t>
        </is>
      </c>
      <c r="G1373" t="n">
        <v>8.6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s="2" t="inlineStr"/>
    </row>
    <row r="1374" ht="15" customHeight="1">
      <c r="A1374" t="inlineStr">
        <is>
          <t>A 45245-2019</t>
        </is>
      </c>
      <c r="B1374" s="1" t="n">
        <v>43713</v>
      </c>
      <c r="C1374" s="1" t="n">
        <v>45211</v>
      </c>
      <c r="D1374" t="inlineStr">
        <is>
          <t>ÖSTERGÖTLANDS LÄN</t>
        </is>
      </c>
      <c r="E1374" t="inlineStr">
        <is>
          <t>YDRE</t>
        </is>
      </c>
      <c r="G1374" t="n">
        <v>0.6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s="2" t="inlineStr"/>
    </row>
    <row r="1375" ht="15" customHeight="1">
      <c r="A1375" t="inlineStr">
        <is>
          <t>A 45998-2019</t>
        </is>
      </c>
      <c r="B1375" s="1" t="n">
        <v>43713</v>
      </c>
      <c r="C1375" s="1" t="n">
        <v>45211</v>
      </c>
      <c r="D1375" t="inlineStr">
        <is>
          <t>ÖSTERGÖTLANDS LÄN</t>
        </is>
      </c>
      <c r="E1375" t="inlineStr">
        <is>
          <t>LINKÖPING</t>
        </is>
      </c>
      <c r="G1375" t="n">
        <v>2.2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s="2" t="inlineStr"/>
    </row>
    <row r="1376" ht="15" customHeight="1">
      <c r="A1376" t="inlineStr">
        <is>
          <t>A 46123-2019</t>
        </is>
      </c>
      <c r="B1376" s="1" t="n">
        <v>43713</v>
      </c>
      <c r="C1376" s="1" t="n">
        <v>45211</v>
      </c>
      <c r="D1376" t="inlineStr">
        <is>
          <t>ÖSTERGÖTLANDS LÄN</t>
        </is>
      </c>
      <c r="E1376" t="inlineStr">
        <is>
          <t>NORRKÖPING</t>
        </is>
      </c>
      <c r="G1376" t="n">
        <v>2.6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s="2" t="inlineStr"/>
    </row>
    <row r="1377" ht="15" customHeight="1">
      <c r="A1377" t="inlineStr">
        <is>
          <t>A 45301-2019</t>
        </is>
      </c>
      <c r="B1377" s="1" t="n">
        <v>43714</v>
      </c>
      <c r="C1377" s="1" t="n">
        <v>45211</v>
      </c>
      <c r="D1377" t="inlineStr">
        <is>
          <t>ÖSTERGÖTLANDS LÄN</t>
        </is>
      </c>
      <c r="E1377" t="inlineStr">
        <is>
          <t>MOTALA</t>
        </is>
      </c>
      <c r="G1377" t="n">
        <v>2.2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s="2" t="inlineStr"/>
    </row>
    <row r="1378" ht="15" customHeight="1">
      <c r="A1378" t="inlineStr">
        <is>
          <t>A 45384-2019</t>
        </is>
      </c>
      <c r="B1378" s="1" t="n">
        <v>43714</v>
      </c>
      <c r="C1378" s="1" t="n">
        <v>45211</v>
      </c>
      <c r="D1378" t="inlineStr">
        <is>
          <t>ÖSTERGÖTLANDS LÄN</t>
        </is>
      </c>
      <c r="E1378" t="inlineStr">
        <is>
          <t>KINDA</t>
        </is>
      </c>
      <c r="G1378" t="n">
        <v>0.7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s="2" t="inlineStr"/>
    </row>
    <row r="1379" ht="15" customHeight="1">
      <c r="A1379" t="inlineStr">
        <is>
          <t>A 45447-2019</t>
        </is>
      </c>
      <c r="B1379" s="1" t="n">
        <v>43714</v>
      </c>
      <c r="C1379" s="1" t="n">
        <v>45211</v>
      </c>
      <c r="D1379" t="inlineStr">
        <is>
          <t>ÖSTERGÖTLANDS LÄN</t>
        </is>
      </c>
      <c r="E1379" t="inlineStr">
        <is>
          <t>KINDA</t>
        </is>
      </c>
      <c r="G1379" t="n">
        <v>6.3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s="2" t="inlineStr"/>
    </row>
    <row r="1380" ht="15" customHeight="1">
      <c r="A1380" t="inlineStr">
        <is>
          <t>A 45724-2019</t>
        </is>
      </c>
      <c r="B1380" s="1" t="n">
        <v>43716</v>
      </c>
      <c r="C1380" s="1" t="n">
        <v>45211</v>
      </c>
      <c r="D1380" t="inlineStr">
        <is>
          <t>ÖSTERGÖTLANDS LÄN</t>
        </is>
      </c>
      <c r="E1380" t="inlineStr">
        <is>
          <t>MOTALA</t>
        </is>
      </c>
      <c r="G1380" t="n">
        <v>3.2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s="2" t="inlineStr"/>
    </row>
    <row r="1381" ht="15" customHeight="1">
      <c r="A1381" t="inlineStr">
        <is>
          <t>A 45641-2019</t>
        </is>
      </c>
      <c r="B1381" s="1" t="n">
        <v>43717</v>
      </c>
      <c r="C1381" s="1" t="n">
        <v>45211</v>
      </c>
      <c r="D1381" t="inlineStr">
        <is>
          <t>ÖSTERGÖTLANDS LÄN</t>
        </is>
      </c>
      <c r="E1381" t="inlineStr">
        <is>
          <t>BOXHOLM</t>
        </is>
      </c>
      <c r="G1381" t="n">
        <v>0.9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s="2" t="inlineStr"/>
    </row>
    <row r="1382" ht="15" customHeight="1">
      <c r="A1382" t="inlineStr">
        <is>
          <t>A 45900-2019</t>
        </is>
      </c>
      <c r="B1382" s="1" t="n">
        <v>43717</v>
      </c>
      <c r="C1382" s="1" t="n">
        <v>45211</v>
      </c>
      <c r="D1382" t="inlineStr">
        <is>
          <t>ÖSTERGÖTLANDS LÄN</t>
        </is>
      </c>
      <c r="E1382" t="inlineStr">
        <is>
          <t>MJÖLBY</t>
        </is>
      </c>
      <c r="G1382" t="n">
        <v>0.6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s="2" t="inlineStr"/>
    </row>
    <row r="1383" ht="15" customHeight="1">
      <c r="A1383" t="inlineStr">
        <is>
          <t>A 45723-2019</t>
        </is>
      </c>
      <c r="B1383" s="1" t="n">
        <v>43717</v>
      </c>
      <c r="C1383" s="1" t="n">
        <v>45211</v>
      </c>
      <c r="D1383" t="inlineStr">
        <is>
          <t>ÖSTERGÖTLANDS LÄN</t>
        </is>
      </c>
      <c r="E1383" t="inlineStr">
        <is>
          <t>BOXHOLM</t>
        </is>
      </c>
      <c r="F1383" t="inlineStr">
        <is>
          <t>Allmännings- och besparingsskogar</t>
        </is>
      </c>
      <c r="G1383" t="n">
        <v>3.5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s="2" t="inlineStr"/>
    </row>
    <row r="1384" ht="15" customHeight="1">
      <c r="A1384" t="inlineStr">
        <is>
          <t>A 45874-2019</t>
        </is>
      </c>
      <c r="B1384" s="1" t="n">
        <v>43717</v>
      </c>
      <c r="C1384" s="1" t="n">
        <v>45211</v>
      </c>
      <c r="D1384" t="inlineStr">
        <is>
          <t>ÖSTERGÖTLANDS LÄN</t>
        </is>
      </c>
      <c r="E1384" t="inlineStr">
        <is>
          <t>YDRE</t>
        </is>
      </c>
      <c r="G1384" t="n">
        <v>1.2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s="2" t="inlineStr"/>
    </row>
    <row r="1385" ht="15" customHeight="1">
      <c r="A1385" t="inlineStr">
        <is>
          <t>A 45902-2019</t>
        </is>
      </c>
      <c r="B1385" s="1" t="n">
        <v>43717</v>
      </c>
      <c r="C1385" s="1" t="n">
        <v>45211</v>
      </c>
      <c r="D1385" t="inlineStr">
        <is>
          <t>ÖSTERGÖTLANDS LÄN</t>
        </is>
      </c>
      <c r="E1385" t="inlineStr">
        <is>
          <t>KINDA</t>
        </is>
      </c>
      <c r="G1385" t="n">
        <v>2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s="2" t="inlineStr"/>
    </row>
    <row r="1386" ht="15" customHeight="1">
      <c r="A1386" t="inlineStr">
        <is>
          <t>A 45702-2019</t>
        </is>
      </c>
      <c r="B1386" s="1" t="n">
        <v>43717</v>
      </c>
      <c r="C1386" s="1" t="n">
        <v>45211</v>
      </c>
      <c r="D1386" t="inlineStr">
        <is>
          <t>ÖSTERGÖTLANDS LÄN</t>
        </is>
      </c>
      <c r="E1386" t="inlineStr">
        <is>
          <t>BOXHOLM</t>
        </is>
      </c>
      <c r="F1386" t="inlineStr">
        <is>
          <t>Allmännings- och besparingsskogar</t>
        </is>
      </c>
      <c r="G1386" t="n">
        <v>1.5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s="2" t="inlineStr"/>
    </row>
    <row r="1387" ht="15" customHeight="1">
      <c r="A1387" t="inlineStr">
        <is>
          <t>A 45603-2019</t>
        </is>
      </c>
      <c r="B1387" s="1" t="n">
        <v>43717</v>
      </c>
      <c r="C1387" s="1" t="n">
        <v>45211</v>
      </c>
      <c r="D1387" t="inlineStr">
        <is>
          <t>ÖSTERGÖTLANDS LÄN</t>
        </is>
      </c>
      <c r="E1387" t="inlineStr">
        <is>
          <t>MOTALA</t>
        </is>
      </c>
      <c r="G1387" t="n">
        <v>4.1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s="2" t="inlineStr"/>
    </row>
    <row r="1388" ht="15" customHeight="1">
      <c r="A1388" t="inlineStr">
        <is>
          <t>A 45994-2019</t>
        </is>
      </c>
      <c r="B1388" s="1" t="n">
        <v>43718</v>
      </c>
      <c r="C1388" s="1" t="n">
        <v>45211</v>
      </c>
      <c r="D1388" t="inlineStr">
        <is>
          <t>ÖSTERGÖTLANDS LÄN</t>
        </is>
      </c>
      <c r="E1388" t="inlineStr">
        <is>
          <t>VALDEMARSVIK</t>
        </is>
      </c>
      <c r="G1388" t="n">
        <v>0.7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s="2" t="inlineStr"/>
    </row>
    <row r="1389" ht="15" customHeight="1">
      <c r="A1389" t="inlineStr">
        <is>
          <t>A 46093-2019</t>
        </is>
      </c>
      <c r="B1389" s="1" t="n">
        <v>43718</v>
      </c>
      <c r="C1389" s="1" t="n">
        <v>45211</v>
      </c>
      <c r="D1389" t="inlineStr">
        <is>
          <t>ÖSTERGÖTLANDS LÄN</t>
        </is>
      </c>
      <c r="E1389" t="inlineStr">
        <is>
          <t>ÅTVIDABERG</t>
        </is>
      </c>
      <c r="G1389" t="n">
        <v>0.5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s="2" t="inlineStr"/>
    </row>
    <row r="1390" ht="15" customHeight="1">
      <c r="A1390" t="inlineStr">
        <is>
          <t>A 46265-2019</t>
        </is>
      </c>
      <c r="B1390" s="1" t="n">
        <v>43718</v>
      </c>
      <c r="C1390" s="1" t="n">
        <v>45211</v>
      </c>
      <c r="D1390" t="inlineStr">
        <is>
          <t>ÖSTERGÖTLANDS LÄN</t>
        </is>
      </c>
      <c r="E1390" t="inlineStr">
        <is>
          <t>LINKÖPING</t>
        </is>
      </c>
      <c r="G1390" t="n">
        <v>5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s="2" t="inlineStr"/>
    </row>
    <row r="1391" ht="15" customHeight="1">
      <c r="A1391" t="inlineStr">
        <is>
          <t>A 46282-2019</t>
        </is>
      </c>
      <c r="B1391" s="1" t="n">
        <v>43718</v>
      </c>
      <c r="C1391" s="1" t="n">
        <v>45211</v>
      </c>
      <c r="D1391" t="inlineStr">
        <is>
          <t>ÖSTERGÖTLANDS LÄN</t>
        </is>
      </c>
      <c r="E1391" t="inlineStr">
        <is>
          <t>ÅTVIDABERG</t>
        </is>
      </c>
      <c r="F1391" t="inlineStr">
        <is>
          <t>Övriga Aktiebolag</t>
        </is>
      </c>
      <c r="G1391" t="n">
        <v>3.8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s="2" t="inlineStr"/>
    </row>
    <row r="1392" ht="15" customHeight="1">
      <c r="A1392" t="inlineStr">
        <is>
          <t>A 45949-2019</t>
        </is>
      </c>
      <c r="B1392" s="1" t="n">
        <v>43718</v>
      </c>
      <c r="C1392" s="1" t="n">
        <v>45211</v>
      </c>
      <c r="D1392" t="inlineStr">
        <is>
          <t>ÖSTERGÖTLANDS LÄN</t>
        </is>
      </c>
      <c r="E1392" t="inlineStr">
        <is>
          <t>FINSPÅNG</t>
        </is>
      </c>
      <c r="G1392" t="n">
        <v>2.2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s="2" t="inlineStr"/>
    </row>
    <row r="1393" ht="15" customHeight="1">
      <c r="A1393" t="inlineStr">
        <is>
          <t>A 45938-2019</t>
        </is>
      </c>
      <c r="B1393" s="1" t="n">
        <v>43718</v>
      </c>
      <c r="C1393" s="1" t="n">
        <v>45211</v>
      </c>
      <c r="D1393" t="inlineStr">
        <is>
          <t>ÖSTERGÖTLANDS LÄN</t>
        </is>
      </c>
      <c r="E1393" t="inlineStr">
        <is>
          <t>FINSPÅNG</t>
        </is>
      </c>
      <c r="G1393" t="n">
        <v>0.8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s="2" t="inlineStr"/>
    </row>
    <row r="1394" ht="15" customHeight="1">
      <c r="A1394" t="inlineStr">
        <is>
          <t>A 45992-2019</t>
        </is>
      </c>
      <c r="B1394" s="1" t="n">
        <v>43718</v>
      </c>
      <c r="C1394" s="1" t="n">
        <v>45211</v>
      </c>
      <c r="D1394" t="inlineStr">
        <is>
          <t>ÖSTERGÖTLANDS LÄN</t>
        </is>
      </c>
      <c r="E1394" t="inlineStr">
        <is>
          <t>VALDEMARSVIK</t>
        </is>
      </c>
      <c r="G1394" t="n">
        <v>2.1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s="2" t="inlineStr"/>
    </row>
    <row r="1395" ht="15" customHeight="1">
      <c r="A1395" t="inlineStr">
        <is>
          <t>A 46009-2019</t>
        </is>
      </c>
      <c r="B1395" s="1" t="n">
        <v>43718</v>
      </c>
      <c r="C1395" s="1" t="n">
        <v>45211</v>
      </c>
      <c r="D1395" t="inlineStr">
        <is>
          <t>ÖSTERGÖTLANDS LÄN</t>
        </is>
      </c>
      <c r="E1395" t="inlineStr">
        <is>
          <t>ÅTVIDABERG</t>
        </is>
      </c>
      <c r="G1395" t="n">
        <v>0.6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s="2" t="inlineStr"/>
    </row>
    <row r="1396" ht="15" customHeight="1">
      <c r="A1396" t="inlineStr">
        <is>
          <t>A 46595-2019</t>
        </is>
      </c>
      <c r="B1396" s="1" t="n">
        <v>43719</v>
      </c>
      <c r="C1396" s="1" t="n">
        <v>45211</v>
      </c>
      <c r="D1396" t="inlineStr">
        <is>
          <t>ÖSTERGÖTLANDS LÄN</t>
        </is>
      </c>
      <c r="E1396" t="inlineStr">
        <is>
          <t>NORRKÖPING</t>
        </is>
      </c>
      <c r="G1396" t="n">
        <v>2.5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s="2" t="inlineStr"/>
    </row>
    <row r="1397" ht="15" customHeight="1">
      <c r="A1397" t="inlineStr">
        <is>
          <t>A 46401-2019</t>
        </is>
      </c>
      <c r="B1397" s="1" t="n">
        <v>43719</v>
      </c>
      <c r="C1397" s="1" t="n">
        <v>45211</v>
      </c>
      <c r="D1397" t="inlineStr">
        <is>
          <t>ÖSTERGÖTLANDS LÄN</t>
        </is>
      </c>
      <c r="E1397" t="inlineStr">
        <is>
          <t>KINDA</t>
        </is>
      </c>
      <c r="G1397" t="n">
        <v>1.6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s="2" t="inlineStr"/>
    </row>
    <row r="1398" ht="15" customHeight="1">
      <c r="A1398" t="inlineStr">
        <is>
          <t>A 46688-2019</t>
        </is>
      </c>
      <c r="B1398" s="1" t="n">
        <v>43719</v>
      </c>
      <c r="C1398" s="1" t="n">
        <v>45211</v>
      </c>
      <c r="D1398" t="inlineStr">
        <is>
          <t>ÖSTERGÖTLANDS LÄN</t>
        </is>
      </c>
      <c r="E1398" t="inlineStr">
        <is>
          <t>SÖDERKÖPING</t>
        </is>
      </c>
      <c r="G1398" t="n">
        <v>0.6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s="2" t="inlineStr"/>
    </row>
    <row r="1399" ht="15" customHeight="1">
      <c r="A1399" t="inlineStr">
        <is>
          <t>A 46399-2019</t>
        </is>
      </c>
      <c r="B1399" s="1" t="n">
        <v>43719</v>
      </c>
      <c r="C1399" s="1" t="n">
        <v>45211</v>
      </c>
      <c r="D1399" t="inlineStr">
        <is>
          <t>ÖSTERGÖTLANDS LÄN</t>
        </is>
      </c>
      <c r="E1399" t="inlineStr">
        <is>
          <t>KINDA</t>
        </is>
      </c>
      <c r="G1399" t="n">
        <v>1.5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s="2" t="inlineStr"/>
    </row>
    <row r="1400" ht="15" customHeight="1">
      <c r="A1400" t="inlineStr">
        <is>
          <t>A 47024-2019</t>
        </is>
      </c>
      <c r="B1400" s="1" t="n">
        <v>43720</v>
      </c>
      <c r="C1400" s="1" t="n">
        <v>45211</v>
      </c>
      <c r="D1400" t="inlineStr">
        <is>
          <t>ÖSTERGÖTLANDS LÄN</t>
        </is>
      </c>
      <c r="E1400" t="inlineStr">
        <is>
          <t>NORRKÖPING</t>
        </is>
      </c>
      <c r="G1400" t="n">
        <v>8.4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s="2" t="inlineStr"/>
    </row>
    <row r="1401" ht="15" customHeight="1">
      <c r="A1401" t="inlineStr">
        <is>
          <t>A 46755-2019</t>
        </is>
      </c>
      <c r="B1401" s="1" t="n">
        <v>43720</v>
      </c>
      <c r="C1401" s="1" t="n">
        <v>45211</v>
      </c>
      <c r="D1401" t="inlineStr">
        <is>
          <t>ÖSTERGÖTLANDS LÄN</t>
        </is>
      </c>
      <c r="E1401" t="inlineStr">
        <is>
          <t>NORRKÖPING</t>
        </is>
      </c>
      <c r="F1401" t="inlineStr">
        <is>
          <t>Kommuner</t>
        </is>
      </c>
      <c r="G1401" t="n">
        <v>2.7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s="2" t="inlineStr"/>
    </row>
    <row r="1402" ht="15" customHeight="1">
      <c r="A1402" t="inlineStr">
        <is>
          <t>A 47165-2019</t>
        </is>
      </c>
      <c r="B1402" s="1" t="n">
        <v>43720</v>
      </c>
      <c r="C1402" s="1" t="n">
        <v>45211</v>
      </c>
      <c r="D1402" t="inlineStr">
        <is>
          <t>ÖSTERGÖTLANDS LÄN</t>
        </is>
      </c>
      <c r="E1402" t="inlineStr">
        <is>
          <t>MOTALA</t>
        </is>
      </c>
      <c r="G1402" t="n">
        <v>3.8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s="2" t="inlineStr"/>
    </row>
    <row r="1403" ht="15" customHeight="1">
      <c r="A1403" t="inlineStr">
        <is>
          <t>A 46757-2019</t>
        </is>
      </c>
      <c r="B1403" s="1" t="n">
        <v>43720</v>
      </c>
      <c r="C1403" s="1" t="n">
        <v>45211</v>
      </c>
      <c r="D1403" t="inlineStr">
        <is>
          <t>ÖSTERGÖTLANDS LÄN</t>
        </is>
      </c>
      <c r="E1403" t="inlineStr">
        <is>
          <t>NORRKÖPING</t>
        </is>
      </c>
      <c r="G1403" t="n">
        <v>9.199999999999999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s="2" t="inlineStr"/>
    </row>
    <row r="1404" ht="15" customHeight="1">
      <c r="A1404" t="inlineStr">
        <is>
          <t>A 47223-2019</t>
        </is>
      </c>
      <c r="B1404" s="1" t="n">
        <v>43720</v>
      </c>
      <c r="C1404" s="1" t="n">
        <v>45211</v>
      </c>
      <c r="D1404" t="inlineStr">
        <is>
          <t>ÖSTERGÖTLANDS LÄN</t>
        </is>
      </c>
      <c r="E1404" t="inlineStr">
        <is>
          <t>FINSPÅNG</t>
        </is>
      </c>
      <c r="G1404" t="n">
        <v>1.8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s="2" t="inlineStr"/>
    </row>
    <row r="1405" ht="15" customHeight="1">
      <c r="A1405" t="inlineStr">
        <is>
          <t>A 47284-2019</t>
        </is>
      </c>
      <c r="B1405" s="1" t="n">
        <v>43721</v>
      </c>
      <c r="C1405" s="1" t="n">
        <v>45211</v>
      </c>
      <c r="D1405" t="inlineStr">
        <is>
          <t>ÖSTERGÖTLANDS LÄN</t>
        </is>
      </c>
      <c r="E1405" t="inlineStr">
        <is>
          <t>YDRE</t>
        </is>
      </c>
      <c r="G1405" t="n">
        <v>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s="2" t="inlineStr"/>
    </row>
    <row r="1406" ht="15" customHeight="1">
      <c r="A1406" t="inlineStr">
        <is>
          <t>A 47327-2019</t>
        </is>
      </c>
      <c r="B1406" s="1" t="n">
        <v>43721</v>
      </c>
      <c r="C1406" s="1" t="n">
        <v>45211</v>
      </c>
      <c r="D1406" t="inlineStr">
        <is>
          <t>ÖSTERGÖTLANDS LÄN</t>
        </is>
      </c>
      <c r="E1406" t="inlineStr">
        <is>
          <t>FINSPÅNG</t>
        </is>
      </c>
      <c r="F1406" t="inlineStr">
        <is>
          <t>Holmen skog AB</t>
        </is>
      </c>
      <c r="G1406" t="n">
        <v>0.4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s="2" t="inlineStr"/>
    </row>
    <row r="1407" ht="15" customHeight="1">
      <c r="A1407" t="inlineStr">
        <is>
          <t>A 47347-2019</t>
        </is>
      </c>
      <c r="B1407" s="1" t="n">
        <v>43721</v>
      </c>
      <c r="C1407" s="1" t="n">
        <v>45211</v>
      </c>
      <c r="D1407" t="inlineStr">
        <is>
          <t>ÖSTERGÖTLANDS LÄN</t>
        </is>
      </c>
      <c r="E1407" t="inlineStr">
        <is>
          <t>MOTALA</t>
        </is>
      </c>
      <c r="F1407" t="inlineStr">
        <is>
          <t>Sveaskog</t>
        </is>
      </c>
      <c r="G1407" t="n">
        <v>0.9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s="2" t="inlineStr"/>
    </row>
    <row r="1408" ht="15" customHeight="1">
      <c r="A1408" t="inlineStr">
        <is>
          <t>A 47348-2019</t>
        </is>
      </c>
      <c r="B1408" s="1" t="n">
        <v>43721</v>
      </c>
      <c r="C1408" s="1" t="n">
        <v>45211</v>
      </c>
      <c r="D1408" t="inlineStr">
        <is>
          <t>ÖSTERGÖTLANDS LÄN</t>
        </is>
      </c>
      <c r="E1408" t="inlineStr">
        <is>
          <t>MOTALA</t>
        </is>
      </c>
      <c r="F1408" t="inlineStr">
        <is>
          <t>Sveaskog</t>
        </is>
      </c>
      <c r="G1408" t="n">
        <v>2.5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s="2" t="inlineStr"/>
    </row>
    <row r="1409" ht="15" customHeight="1">
      <c r="A1409" t="inlineStr">
        <is>
          <t>A 47249-2019</t>
        </is>
      </c>
      <c r="B1409" s="1" t="n">
        <v>43721</v>
      </c>
      <c r="C1409" s="1" t="n">
        <v>45211</v>
      </c>
      <c r="D1409" t="inlineStr">
        <is>
          <t>ÖSTERGÖTLANDS LÄN</t>
        </is>
      </c>
      <c r="E1409" t="inlineStr">
        <is>
          <t>KINDA</t>
        </is>
      </c>
      <c r="F1409" t="inlineStr">
        <is>
          <t>Övriga Aktiebolag</t>
        </is>
      </c>
      <c r="G1409" t="n">
        <v>1.4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s="2" t="inlineStr"/>
    </row>
    <row r="1410" ht="15" customHeight="1">
      <c r="A1410" t="inlineStr">
        <is>
          <t>A 47669-2019</t>
        </is>
      </c>
      <c r="B1410" s="1" t="n">
        <v>43724</v>
      </c>
      <c r="C1410" s="1" t="n">
        <v>45211</v>
      </c>
      <c r="D1410" t="inlineStr">
        <is>
          <t>ÖSTERGÖTLANDS LÄN</t>
        </is>
      </c>
      <c r="E1410" t="inlineStr">
        <is>
          <t>MOTALA</t>
        </is>
      </c>
      <c r="G1410" t="n">
        <v>1.3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s="2" t="inlineStr"/>
    </row>
    <row r="1411" ht="15" customHeight="1">
      <c r="A1411" t="inlineStr">
        <is>
          <t>A 47718-2019</t>
        </is>
      </c>
      <c r="B1411" s="1" t="n">
        <v>43724</v>
      </c>
      <c r="C1411" s="1" t="n">
        <v>45211</v>
      </c>
      <c r="D1411" t="inlineStr">
        <is>
          <t>ÖSTERGÖTLANDS LÄN</t>
        </is>
      </c>
      <c r="E1411" t="inlineStr">
        <is>
          <t>LINKÖPING</t>
        </is>
      </c>
      <c r="F1411" t="inlineStr">
        <is>
          <t>Allmännings- och besparingsskogar</t>
        </is>
      </c>
      <c r="G1411" t="n">
        <v>31.2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s="2" t="inlineStr"/>
    </row>
    <row r="1412" ht="15" customHeight="1">
      <c r="A1412" t="inlineStr">
        <is>
          <t>A 47726-2019</t>
        </is>
      </c>
      <c r="B1412" s="1" t="n">
        <v>43724</v>
      </c>
      <c r="C1412" s="1" t="n">
        <v>45211</v>
      </c>
      <c r="D1412" t="inlineStr">
        <is>
          <t>ÖSTERGÖTLANDS LÄN</t>
        </is>
      </c>
      <c r="E1412" t="inlineStr">
        <is>
          <t>NORRKÖPING</t>
        </is>
      </c>
      <c r="G1412" t="n">
        <v>4.1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s="2" t="inlineStr"/>
    </row>
    <row r="1413" ht="15" customHeight="1">
      <c r="A1413" t="inlineStr">
        <is>
          <t>A 47873-2019</t>
        </is>
      </c>
      <c r="B1413" s="1" t="n">
        <v>43724</v>
      </c>
      <c r="C1413" s="1" t="n">
        <v>45211</v>
      </c>
      <c r="D1413" t="inlineStr">
        <is>
          <t>ÖSTERGÖTLANDS LÄN</t>
        </is>
      </c>
      <c r="E1413" t="inlineStr">
        <is>
          <t>MOTALA</t>
        </is>
      </c>
      <c r="G1413" t="n">
        <v>2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s="2" t="inlineStr"/>
    </row>
    <row r="1414" ht="15" customHeight="1">
      <c r="A1414" t="inlineStr">
        <is>
          <t>A 47596-2019</t>
        </is>
      </c>
      <c r="B1414" s="1" t="n">
        <v>43724</v>
      </c>
      <c r="C1414" s="1" t="n">
        <v>45211</v>
      </c>
      <c r="D1414" t="inlineStr">
        <is>
          <t>ÖSTERGÖTLANDS LÄN</t>
        </is>
      </c>
      <c r="E1414" t="inlineStr">
        <is>
          <t>LINKÖPING</t>
        </is>
      </c>
      <c r="F1414" t="inlineStr">
        <is>
          <t>Allmännings- och besparingsskogar</t>
        </is>
      </c>
      <c r="G1414" t="n">
        <v>7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s="2" t="inlineStr"/>
    </row>
    <row r="1415" ht="15" customHeight="1">
      <c r="A1415" t="inlineStr">
        <is>
          <t>A 47722-2019</t>
        </is>
      </c>
      <c r="B1415" s="1" t="n">
        <v>43724</v>
      </c>
      <c r="C1415" s="1" t="n">
        <v>45211</v>
      </c>
      <c r="D1415" t="inlineStr">
        <is>
          <t>ÖSTERGÖTLANDS LÄN</t>
        </is>
      </c>
      <c r="E1415" t="inlineStr">
        <is>
          <t>LINKÖPING</t>
        </is>
      </c>
      <c r="F1415" t="inlineStr">
        <is>
          <t>Allmännings- och besparingsskogar</t>
        </is>
      </c>
      <c r="G1415" t="n">
        <v>0.9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s="2" t="inlineStr"/>
    </row>
    <row r="1416" ht="15" customHeight="1">
      <c r="A1416" t="inlineStr">
        <is>
          <t>A 47555-2019</t>
        </is>
      </c>
      <c r="B1416" s="1" t="n">
        <v>43724</v>
      </c>
      <c r="C1416" s="1" t="n">
        <v>45211</v>
      </c>
      <c r="D1416" t="inlineStr">
        <is>
          <t>ÖSTERGÖTLANDS LÄN</t>
        </is>
      </c>
      <c r="E1416" t="inlineStr">
        <is>
          <t>NORRKÖPING</t>
        </is>
      </c>
      <c r="G1416" t="n">
        <v>3.2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s="2" t="inlineStr"/>
    </row>
    <row r="1417" ht="15" customHeight="1">
      <c r="A1417" t="inlineStr">
        <is>
          <t>A 47663-2019</t>
        </is>
      </c>
      <c r="B1417" s="1" t="n">
        <v>43724</v>
      </c>
      <c r="C1417" s="1" t="n">
        <v>45211</v>
      </c>
      <c r="D1417" t="inlineStr">
        <is>
          <t>ÖSTERGÖTLANDS LÄN</t>
        </is>
      </c>
      <c r="E1417" t="inlineStr">
        <is>
          <t>ÅTVIDABERG</t>
        </is>
      </c>
      <c r="G1417" t="n">
        <v>1.3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s="2" t="inlineStr"/>
    </row>
    <row r="1418" ht="15" customHeight="1">
      <c r="A1418" t="inlineStr">
        <is>
          <t>A 47839-2019</t>
        </is>
      </c>
      <c r="B1418" s="1" t="n">
        <v>43724</v>
      </c>
      <c r="C1418" s="1" t="n">
        <v>45211</v>
      </c>
      <c r="D1418" t="inlineStr">
        <is>
          <t>ÖSTERGÖTLANDS LÄN</t>
        </is>
      </c>
      <c r="E1418" t="inlineStr">
        <is>
          <t>FINSPÅNG</t>
        </is>
      </c>
      <c r="F1418" t="inlineStr">
        <is>
          <t>Övriga Aktiebolag</t>
        </is>
      </c>
      <c r="G1418" t="n">
        <v>6.9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s="2" t="inlineStr"/>
    </row>
    <row r="1419" ht="15" customHeight="1">
      <c r="A1419" t="inlineStr">
        <is>
          <t>A 47578-2019</t>
        </is>
      </c>
      <c r="B1419" s="1" t="n">
        <v>43724</v>
      </c>
      <c r="C1419" s="1" t="n">
        <v>45211</v>
      </c>
      <c r="D1419" t="inlineStr">
        <is>
          <t>ÖSTERGÖTLANDS LÄN</t>
        </is>
      </c>
      <c r="E1419" t="inlineStr">
        <is>
          <t>ÅTVIDABERG</t>
        </is>
      </c>
      <c r="F1419" t="inlineStr">
        <is>
          <t>Övriga Aktiebolag</t>
        </is>
      </c>
      <c r="G1419" t="n">
        <v>7.7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s="2" t="inlineStr"/>
    </row>
    <row r="1420" ht="15" customHeight="1">
      <c r="A1420" t="inlineStr">
        <is>
          <t>A 47670-2019</t>
        </is>
      </c>
      <c r="B1420" s="1" t="n">
        <v>43724</v>
      </c>
      <c r="C1420" s="1" t="n">
        <v>45211</v>
      </c>
      <c r="D1420" t="inlineStr">
        <is>
          <t>ÖSTERGÖTLANDS LÄN</t>
        </is>
      </c>
      <c r="E1420" t="inlineStr">
        <is>
          <t>LINKÖPING</t>
        </is>
      </c>
      <c r="F1420" t="inlineStr">
        <is>
          <t>Övriga Aktiebolag</t>
        </is>
      </c>
      <c r="G1420" t="n">
        <v>3.4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s="2" t="inlineStr"/>
    </row>
    <row r="1421" ht="15" customHeight="1">
      <c r="A1421" t="inlineStr">
        <is>
          <t>A 47691-2019</t>
        </is>
      </c>
      <c r="B1421" s="1" t="n">
        <v>43724</v>
      </c>
      <c r="C1421" s="1" t="n">
        <v>45211</v>
      </c>
      <c r="D1421" t="inlineStr">
        <is>
          <t>ÖSTERGÖTLANDS LÄN</t>
        </is>
      </c>
      <c r="E1421" t="inlineStr">
        <is>
          <t>FINSPÅNG</t>
        </is>
      </c>
      <c r="F1421" t="inlineStr">
        <is>
          <t>Övriga Aktiebolag</t>
        </is>
      </c>
      <c r="G1421" t="n">
        <v>11.2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s="2" t="inlineStr"/>
    </row>
    <row r="1422" ht="15" customHeight="1">
      <c r="A1422" t="inlineStr">
        <is>
          <t>A 47973-2019</t>
        </is>
      </c>
      <c r="B1422" s="1" t="n">
        <v>43725</v>
      </c>
      <c r="C1422" s="1" t="n">
        <v>45211</v>
      </c>
      <c r="D1422" t="inlineStr">
        <is>
          <t>ÖSTERGÖTLANDS LÄN</t>
        </is>
      </c>
      <c r="E1422" t="inlineStr">
        <is>
          <t>FINSPÅNG</t>
        </is>
      </c>
      <c r="G1422" t="n">
        <v>3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s="2" t="inlineStr"/>
    </row>
    <row r="1423" ht="15" customHeight="1">
      <c r="A1423" t="inlineStr">
        <is>
          <t>A 48106-2019</t>
        </is>
      </c>
      <c r="B1423" s="1" t="n">
        <v>43725</v>
      </c>
      <c r="C1423" s="1" t="n">
        <v>45211</v>
      </c>
      <c r="D1423" t="inlineStr">
        <is>
          <t>ÖSTERGÖTLANDS LÄN</t>
        </is>
      </c>
      <c r="E1423" t="inlineStr">
        <is>
          <t>KINDA</t>
        </is>
      </c>
      <c r="G1423" t="n">
        <v>0.6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s="2" t="inlineStr"/>
    </row>
    <row r="1424" ht="15" customHeight="1">
      <c r="A1424" t="inlineStr">
        <is>
          <t>A 48020-2019</t>
        </is>
      </c>
      <c r="B1424" s="1" t="n">
        <v>43725</v>
      </c>
      <c r="C1424" s="1" t="n">
        <v>45211</v>
      </c>
      <c r="D1424" t="inlineStr">
        <is>
          <t>ÖSTERGÖTLANDS LÄN</t>
        </is>
      </c>
      <c r="E1424" t="inlineStr">
        <is>
          <t>LINKÖPING</t>
        </is>
      </c>
      <c r="G1424" t="n">
        <v>1.1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s="2" t="inlineStr"/>
    </row>
    <row r="1425" ht="15" customHeight="1">
      <c r="A1425" t="inlineStr">
        <is>
          <t>A 48053-2019</t>
        </is>
      </c>
      <c r="B1425" s="1" t="n">
        <v>43725</v>
      </c>
      <c r="C1425" s="1" t="n">
        <v>45211</v>
      </c>
      <c r="D1425" t="inlineStr">
        <is>
          <t>ÖSTERGÖTLANDS LÄN</t>
        </is>
      </c>
      <c r="E1425" t="inlineStr">
        <is>
          <t>FINSPÅNG</t>
        </is>
      </c>
      <c r="F1425" t="inlineStr">
        <is>
          <t>Holmen skog AB</t>
        </is>
      </c>
      <c r="G1425" t="n">
        <v>1.8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s="2" t="inlineStr"/>
    </row>
    <row r="1426" ht="15" customHeight="1">
      <c r="A1426" t="inlineStr">
        <is>
          <t>A 48110-2019</t>
        </is>
      </c>
      <c r="B1426" s="1" t="n">
        <v>43725</v>
      </c>
      <c r="C1426" s="1" t="n">
        <v>45211</v>
      </c>
      <c r="D1426" t="inlineStr">
        <is>
          <t>ÖSTERGÖTLANDS LÄN</t>
        </is>
      </c>
      <c r="E1426" t="inlineStr">
        <is>
          <t>ÅTVIDABERG</t>
        </is>
      </c>
      <c r="G1426" t="n">
        <v>0.7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s="2" t="inlineStr"/>
    </row>
    <row r="1427" ht="15" customHeight="1">
      <c r="A1427" t="inlineStr">
        <is>
          <t>A 48368-2019</t>
        </is>
      </c>
      <c r="B1427" s="1" t="n">
        <v>43726</v>
      </c>
      <c r="C1427" s="1" t="n">
        <v>45211</v>
      </c>
      <c r="D1427" t="inlineStr">
        <is>
          <t>ÖSTERGÖTLANDS LÄN</t>
        </is>
      </c>
      <c r="E1427" t="inlineStr">
        <is>
          <t>MOTALA</t>
        </is>
      </c>
      <c r="F1427" t="inlineStr">
        <is>
          <t>Kyrkan</t>
        </is>
      </c>
      <c r="G1427" t="n">
        <v>3.9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s="2" t="inlineStr"/>
    </row>
    <row r="1428" ht="15" customHeight="1">
      <c r="A1428" t="inlineStr">
        <is>
          <t>A 48175-2019</t>
        </is>
      </c>
      <c r="B1428" s="1" t="n">
        <v>43726</v>
      </c>
      <c r="C1428" s="1" t="n">
        <v>45211</v>
      </c>
      <c r="D1428" t="inlineStr">
        <is>
          <t>ÖSTERGÖTLANDS LÄN</t>
        </is>
      </c>
      <c r="E1428" t="inlineStr">
        <is>
          <t>ÅTVIDABERG</t>
        </is>
      </c>
      <c r="G1428" t="n">
        <v>4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s="2" t="inlineStr"/>
    </row>
    <row r="1429" ht="15" customHeight="1">
      <c r="A1429" t="inlineStr">
        <is>
          <t>A 48242-2019</t>
        </is>
      </c>
      <c r="B1429" s="1" t="n">
        <v>43726</v>
      </c>
      <c r="C1429" s="1" t="n">
        <v>45211</v>
      </c>
      <c r="D1429" t="inlineStr">
        <is>
          <t>ÖSTERGÖTLANDS LÄN</t>
        </is>
      </c>
      <c r="E1429" t="inlineStr">
        <is>
          <t>FINSPÅNG</t>
        </is>
      </c>
      <c r="F1429" t="inlineStr">
        <is>
          <t>Naturvårdsverket</t>
        </is>
      </c>
      <c r="G1429" t="n">
        <v>0.9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s="2" t="inlineStr"/>
    </row>
    <row r="1430" ht="15" customHeight="1">
      <c r="A1430" t="inlineStr">
        <is>
          <t>A 48759-2019</t>
        </is>
      </c>
      <c r="B1430" s="1" t="n">
        <v>43727</v>
      </c>
      <c r="C1430" s="1" t="n">
        <v>45211</v>
      </c>
      <c r="D1430" t="inlineStr">
        <is>
          <t>ÖSTERGÖTLANDS LÄN</t>
        </is>
      </c>
      <c r="E1430" t="inlineStr">
        <is>
          <t>KINDA</t>
        </is>
      </c>
      <c r="G1430" t="n">
        <v>2.3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s="2" t="inlineStr"/>
    </row>
    <row r="1431" ht="15" customHeight="1">
      <c r="A1431" t="inlineStr">
        <is>
          <t>A 48568-2019</t>
        </is>
      </c>
      <c r="B1431" s="1" t="n">
        <v>43727</v>
      </c>
      <c r="C1431" s="1" t="n">
        <v>45211</v>
      </c>
      <c r="D1431" t="inlineStr">
        <is>
          <t>ÖSTERGÖTLANDS LÄN</t>
        </is>
      </c>
      <c r="E1431" t="inlineStr">
        <is>
          <t>KINDA</t>
        </is>
      </c>
      <c r="G1431" t="n">
        <v>1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s="2" t="inlineStr"/>
    </row>
    <row r="1432" ht="15" customHeight="1">
      <c r="A1432" t="inlineStr">
        <is>
          <t>A 48761-2019</t>
        </is>
      </c>
      <c r="B1432" s="1" t="n">
        <v>43727</v>
      </c>
      <c r="C1432" s="1" t="n">
        <v>45211</v>
      </c>
      <c r="D1432" t="inlineStr">
        <is>
          <t>ÖSTERGÖTLANDS LÄN</t>
        </is>
      </c>
      <c r="E1432" t="inlineStr">
        <is>
          <t>KINDA</t>
        </is>
      </c>
      <c r="G1432" t="n">
        <v>5.3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s="2" t="inlineStr"/>
    </row>
    <row r="1433" ht="15" customHeight="1">
      <c r="A1433" t="inlineStr">
        <is>
          <t>A 48666-2019</t>
        </is>
      </c>
      <c r="B1433" s="1" t="n">
        <v>43728</v>
      </c>
      <c r="C1433" s="1" t="n">
        <v>45211</v>
      </c>
      <c r="D1433" t="inlineStr">
        <is>
          <t>ÖSTERGÖTLANDS LÄN</t>
        </is>
      </c>
      <c r="E1433" t="inlineStr">
        <is>
          <t>ÖDESHÖG</t>
        </is>
      </c>
      <c r="F1433" t="inlineStr">
        <is>
          <t>Allmännings- och besparingsskogar</t>
        </is>
      </c>
      <c r="G1433" t="n">
        <v>2.3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s="2" t="inlineStr"/>
    </row>
    <row r="1434" ht="15" customHeight="1">
      <c r="A1434" t="inlineStr">
        <is>
          <t>A 48669-2019</t>
        </is>
      </c>
      <c r="B1434" s="1" t="n">
        <v>43728</v>
      </c>
      <c r="C1434" s="1" t="n">
        <v>45211</v>
      </c>
      <c r="D1434" t="inlineStr">
        <is>
          <t>ÖSTERGÖTLANDS LÄN</t>
        </is>
      </c>
      <c r="E1434" t="inlineStr">
        <is>
          <t>ÖDESHÖG</t>
        </is>
      </c>
      <c r="F1434" t="inlineStr">
        <is>
          <t>Allmännings- och besparingsskogar</t>
        </is>
      </c>
      <c r="G1434" t="n">
        <v>0.7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s="2" t="inlineStr"/>
    </row>
    <row r="1435" ht="15" customHeight="1">
      <c r="A1435" t="inlineStr">
        <is>
          <t>A 49007-2019</t>
        </is>
      </c>
      <c r="B1435" s="1" t="n">
        <v>43730</v>
      </c>
      <c r="C1435" s="1" t="n">
        <v>45211</v>
      </c>
      <c r="D1435" t="inlineStr">
        <is>
          <t>ÖSTERGÖTLANDS LÄN</t>
        </is>
      </c>
      <c r="E1435" t="inlineStr">
        <is>
          <t>MOTALA</t>
        </is>
      </c>
      <c r="G1435" t="n">
        <v>11.6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s="2" t="inlineStr"/>
    </row>
    <row r="1436" ht="15" customHeight="1">
      <c r="A1436" t="inlineStr">
        <is>
          <t>A 49050-2019</t>
        </is>
      </c>
      <c r="B1436" s="1" t="n">
        <v>43731</v>
      </c>
      <c r="C1436" s="1" t="n">
        <v>45211</v>
      </c>
      <c r="D1436" t="inlineStr">
        <is>
          <t>ÖSTERGÖTLANDS LÄN</t>
        </is>
      </c>
      <c r="E1436" t="inlineStr">
        <is>
          <t>VALDEMARSVIK</t>
        </is>
      </c>
      <c r="G1436" t="n">
        <v>1.1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s="2" t="inlineStr"/>
    </row>
    <row r="1437" ht="15" customHeight="1">
      <c r="A1437" t="inlineStr">
        <is>
          <t>A 49086-2019</t>
        </is>
      </c>
      <c r="B1437" s="1" t="n">
        <v>43731</v>
      </c>
      <c r="C1437" s="1" t="n">
        <v>45211</v>
      </c>
      <c r="D1437" t="inlineStr">
        <is>
          <t>ÖSTERGÖTLANDS LÄN</t>
        </is>
      </c>
      <c r="E1437" t="inlineStr">
        <is>
          <t>ÅTVIDABERG</t>
        </is>
      </c>
      <c r="F1437" t="inlineStr">
        <is>
          <t>Övriga Aktiebolag</t>
        </is>
      </c>
      <c r="G1437" t="n">
        <v>0.6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s="2" t="inlineStr"/>
    </row>
    <row r="1438" ht="15" customHeight="1">
      <c r="A1438" t="inlineStr">
        <is>
          <t>A 49144-2019</t>
        </is>
      </c>
      <c r="B1438" s="1" t="n">
        <v>43731</v>
      </c>
      <c r="C1438" s="1" t="n">
        <v>45211</v>
      </c>
      <c r="D1438" t="inlineStr">
        <is>
          <t>ÖSTERGÖTLANDS LÄN</t>
        </is>
      </c>
      <c r="E1438" t="inlineStr">
        <is>
          <t>LINKÖPING</t>
        </is>
      </c>
      <c r="G1438" t="n">
        <v>0.7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s="2" t="inlineStr"/>
    </row>
    <row r="1439" ht="15" customHeight="1">
      <c r="A1439" t="inlineStr">
        <is>
          <t>A 49064-2019</t>
        </is>
      </c>
      <c r="B1439" s="1" t="n">
        <v>43731</v>
      </c>
      <c r="C1439" s="1" t="n">
        <v>45211</v>
      </c>
      <c r="D1439" t="inlineStr">
        <is>
          <t>ÖSTERGÖTLANDS LÄN</t>
        </is>
      </c>
      <c r="E1439" t="inlineStr">
        <is>
          <t>BOXHOLM</t>
        </is>
      </c>
      <c r="F1439" t="inlineStr">
        <is>
          <t>Övriga Aktiebolag</t>
        </is>
      </c>
      <c r="G1439" t="n">
        <v>2.6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s="2" t="inlineStr"/>
    </row>
    <row r="1440" ht="15" customHeight="1">
      <c r="A1440" t="inlineStr">
        <is>
          <t>A 49113-2019</t>
        </is>
      </c>
      <c r="B1440" s="1" t="n">
        <v>43731</v>
      </c>
      <c r="C1440" s="1" t="n">
        <v>45211</v>
      </c>
      <c r="D1440" t="inlineStr">
        <is>
          <t>ÖSTERGÖTLANDS LÄN</t>
        </is>
      </c>
      <c r="E1440" t="inlineStr">
        <is>
          <t>YDRE</t>
        </is>
      </c>
      <c r="G1440" t="n">
        <v>1.5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s="2" t="inlineStr"/>
    </row>
    <row r="1441" ht="15" customHeight="1">
      <c r="A1441" t="inlineStr">
        <is>
          <t>A 49185-2019</t>
        </is>
      </c>
      <c r="B1441" s="1" t="n">
        <v>43731</v>
      </c>
      <c r="C1441" s="1" t="n">
        <v>45211</v>
      </c>
      <c r="D1441" t="inlineStr">
        <is>
          <t>ÖSTERGÖTLANDS LÄN</t>
        </is>
      </c>
      <c r="E1441" t="inlineStr">
        <is>
          <t>LINKÖPING</t>
        </is>
      </c>
      <c r="G1441" t="n">
        <v>3.6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s="2" t="inlineStr"/>
    </row>
    <row r="1442" ht="15" customHeight="1">
      <c r="A1442" t="inlineStr">
        <is>
          <t>A 49299-2019</t>
        </is>
      </c>
      <c r="B1442" s="1" t="n">
        <v>43731</v>
      </c>
      <c r="C1442" s="1" t="n">
        <v>45211</v>
      </c>
      <c r="D1442" t="inlineStr">
        <is>
          <t>ÖSTERGÖTLANDS LÄN</t>
        </is>
      </c>
      <c r="E1442" t="inlineStr">
        <is>
          <t>BOXHOLM</t>
        </is>
      </c>
      <c r="F1442" t="inlineStr">
        <is>
          <t>Övriga Aktiebolag</t>
        </is>
      </c>
      <c r="G1442" t="n">
        <v>5.9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s="2" t="inlineStr"/>
    </row>
    <row r="1443" ht="15" customHeight="1">
      <c r="A1443" t="inlineStr">
        <is>
          <t>A 49352-2019</t>
        </is>
      </c>
      <c r="B1443" s="1" t="n">
        <v>43731</v>
      </c>
      <c r="C1443" s="1" t="n">
        <v>45211</v>
      </c>
      <c r="D1443" t="inlineStr">
        <is>
          <t>ÖSTERGÖTLANDS LÄN</t>
        </is>
      </c>
      <c r="E1443" t="inlineStr">
        <is>
          <t>KINDA</t>
        </is>
      </c>
      <c r="G1443" t="n">
        <v>2.7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s="2" t="inlineStr"/>
    </row>
    <row r="1444" ht="15" customHeight="1">
      <c r="A1444" t="inlineStr">
        <is>
          <t>A 49494-2019</t>
        </is>
      </c>
      <c r="B1444" s="1" t="n">
        <v>43732</v>
      </c>
      <c r="C1444" s="1" t="n">
        <v>45211</v>
      </c>
      <c r="D1444" t="inlineStr">
        <is>
          <t>ÖSTERGÖTLANDS LÄN</t>
        </is>
      </c>
      <c r="E1444" t="inlineStr">
        <is>
          <t>FINSPÅNG</t>
        </is>
      </c>
      <c r="G1444" t="n">
        <v>1.4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s="2" t="inlineStr"/>
    </row>
    <row r="1445" ht="15" customHeight="1">
      <c r="A1445" t="inlineStr">
        <is>
          <t>A 49508-2019</t>
        </is>
      </c>
      <c r="B1445" s="1" t="n">
        <v>43732</v>
      </c>
      <c r="C1445" s="1" t="n">
        <v>45211</v>
      </c>
      <c r="D1445" t="inlineStr">
        <is>
          <t>ÖSTERGÖTLANDS LÄN</t>
        </is>
      </c>
      <c r="E1445" t="inlineStr">
        <is>
          <t>ÖDESHÖG</t>
        </is>
      </c>
      <c r="F1445" t="inlineStr">
        <is>
          <t>Allmännings- och besparingsskogar</t>
        </is>
      </c>
      <c r="G1445" t="n">
        <v>1.8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s="2" t="inlineStr"/>
    </row>
    <row r="1446" ht="15" customHeight="1">
      <c r="A1446" t="inlineStr">
        <is>
          <t>A 49540-2019</t>
        </is>
      </c>
      <c r="B1446" s="1" t="n">
        <v>43732</v>
      </c>
      <c r="C1446" s="1" t="n">
        <v>45211</v>
      </c>
      <c r="D1446" t="inlineStr">
        <is>
          <t>ÖSTERGÖTLANDS LÄN</t>
        </is>
      </c>
      <c r="E1446" t="inlineStr">
        <is>
          <t>MOTALA</t>
        </is>
      </c>
      <c r="F1446" t="inlineStr">
        <is>
          <t>Övriga statliga verk och myndigheter</t>
        </is>
      </c>
      <c r="G1446" t="n">
        <v>5.1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s="2" t="inlineStr"/>
    </row>
    <row r="1447" ht="15" customHeight="1">
      <c r="A1447" t="inlineStr">
        <is>
          <t>A 49625-2019</t>
        </is>
      </c>
      <c r="B1447" s="1" t="n">
        <v>43732</v>
      </c>
      <c r="C1447" s="1" t="n">
        <v>45211</v>
      </c>
      <c r="D1447" t="inlineStr">
        <is>
          <t>ÖSTERGÖTLANDS LÄN</t>
        </is>
      </c>
      <c r="E1447" t="inlineStr">
        <is>
          <t>LINKÖPING</t>
        </is>
      </c>
      <c r="F1447" t="inlineStr">
        <is>
          <t>Övriga statliga verk och myndigheter</t>
        </is>
      </c>
      <c r="G1447" t="n">
        <v>9.300000000000001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s="2" t="inlineStr"/>
    </row>
    <row r="1448" ht="15" customHeight="1">
      <c r="A1448" t="inlineStr">
        <is>
          <t>A 49635-2019</t>
        </is>
      </c>
      <c r="B1448" s="1" t="n">
        <v>43732</v>
      </c>
      <c r="C1448" s="1" t="n">
        <v>45211</v>
      </c>
      <c r="D1448" t="inlineStr">
        <is>
          <t>ÖSTERGÖTLANDS LÄN</t>
        </is>
      </c>
      <c r="E1448" t="inlineStr">
        <is>
          <t>MOTALA</t>
        </is>
      </c>
      <c r="F1448" t="inlineStr">
        <is>
          <t>Övriga statliga verk och myndigheter</t>
        </is>
      </c>
      <c r="G1448" t="n">
        <v>1.1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s="2" t="inlineStr"/>
    </row>
    <row r="1449" ht="15" customHeight="1">
      <c r="A1449" t="inlineStr">
        <is>
          <t>A 49594-2019</t>
        </is>
      </c>
      <c r="B1449" s="1" t="n">
        <v>43732</v>
      </c>
      <c r="C1449" s="1" t="n">
        <v>45211</v>
      </c>
      <c r="D1449" t="inlineStr">
        <is>
          <t>ÖSTERGÖTLANDS LÄN</t>
        </is>
      </c>
      <c r="E1449" t="inlineStr">
        <is>
          <t>LINKÖPING</t>
        </is>
      </c>
      <c r="F1449" t="inlineStr">
        <is>
          <t>Övriga statliga verk och myndigheter</t>
        </is>
      </c>
      <c r="G1449" t="n">
        <v>2.6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s="2" t="inlineStr"/>
    </row>
    <row r="1450" ht="15" customHeight="1">
      <c r="A1450" t="inlineStr">
        <is>
          <t>A 49626-2019</t>
        </is>
      </c>
      <c r="B1450" s="1" t="n">
        <v>43732</v>
      </c>
      <c r="C1450" s="1" t="n">
        <v>45211</v>
      </c>
      <c r="D1450" t="inlineStr">
        <is>
          <t>ÖSTERGÖTLANDS LÄN</t>
        </is>
      </c>
      <c r="E1450" t="inlineStr">
        <is>
          <t>LINKÖPING</t>
        </is>
      </c>
      <c r="F1450" t="inlineStr">
        <is>
          <t>Övriga statliga verk och myndigheter</t>
        </is>
      </c>
      <c r="G1450" t="n">
        <v>11.3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s="2" t="inlineStr"/>
    </row>
    <row r="1451" ht="15" customHeight="1">
      <c r="A1451" t="inlineStr">
        <is>
          <t>A 49480-2019</t>
        </is>
      </c>
      <c r="B1451" s="1" t="n">
        <v>43732</v>
      </c>
      <c r="C1451" s="1" t="n">
        <v>45211</v>
      </c>
      <c r="D1451" t="inlineStr">
        <is>
          <t>ÖSTERGÖTLANDS LÄN</t>
        </is>
      </c>
      <c r="E1451" t="inlineStr">
        <is>
          <t>ÖDESHÖG</t>
        </is>
      </c>
      <c r="F1451" t="inlineStr">
        <is>
          <t>Allmännings- och besparingsskogar</t>
        </is>
      </c>
      <c r="G1451" t="n">
        <v>1.8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s="2" t="inlineStr"/>
    </row>
    <row r="1452" ht="15" customHeight="1">
      <c r="A1452" t="inlineStr">
        <is>
          <t>A 49505-2019</t>
        </is>
      </c>
      <c r="B1452" s="1" t="n">
        <v>43732</v>
      </c>
      <c r="C1452" s="1" t="n">
        <v>45211</v>
      </c>
      <c r="D1452" t="inlineStr">
        <is>
          <t>ÖSTERGÖTLANDS LÄN</t>
        </is>
      </c>
      <c r="E1452" t="inlineStr">
        <is>
          <t>ÖDESHÖG</t>
        </is>
      </c>
      <c r="F1452" t="inlineStr">
        <is>
          <t>Allmännings- och besparingsskogar</t>
        </is>
      </c>
      <c r="G1452" t="n">
        <v>1.9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s="2" t="inlineStr"/>
    </row>
    <row r="1453" ht="15" customHeight="1">
      <c r="A1453" t="inlineStr">
        <is>
          <t>A 49571-2019</t>
        </is>
      </c>
      <c r="B1453" s="1" t="n">
        <v>43732</v>
      </c>
      <c r="C1453" s="1" t="n">
        <v>45211</v>
      </c>
      <c r="D1453" t="inlineStr">
        <is>
          <t>ÖSTERGÖTLANDS LÄN</t>
        </is>
      </c>
      <c r="E1453" t="inlineStr">
        <is>
          <t>LINKÖPING</t>
        </is>
      </c>
      <c r="F1453" t="inlineStr">
        <is>
          <t>Övriga statliga verk och myndigheter</t>
        </is>
      </c>
      <c r="G1453" t="n">
        <v>3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s="2" t="inlineStr"/>
    </row>
    <row r="1454" ht="15" customHeight="1">
      <c r="A1454" t="inlineStr">
        <is>
          <t>A 49590-2019</t>
        </is>
      </c>
      <c r="B1454" s="1" t="n">
        <v>43732</v>
      </c>
      <c r="C1454" s="1" t="n">
        <v>45211</v>
      </c>
      <c r="D1454" t="inlineStr">
        <is>
          <t>ÖSTERGÖTLANDS LÄN</t>
        </is>
      </c>
      <c r="E1454" t="inlineStr">
        <is>
          <t>LINKÖPING</t>
        </is>
      </c>
      <c r="F1454" t="inlineStr">
        <is>
          <t>Övriga statliga verk och myndigheter</t>
        </is>
      </c>
      <c r="G1454" t="n">
        <v>4.3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s="2" t="inlineStr"/>
    </row>
    <row r="1455" ht="15" customHeight="1">
      <c r="A1455" t="inlineStr">
        <is>
          <t>A 49623-2019</t>
        </is>
      </c>
      <c r="B1455" s="1" t="n">
        <v>43732</v>
      </c>
      <c r="C1455" s="1" t="n">
        <v>45211</v>
      </c>
      <c r="D1455" t="inlineStr">
        <is>
          <t>ÖSTERGÖTLANDS LÄN</t>
        </is>
      </c>
      <c r="E1455" t="inlineStr">
        <is>
          <t>LINKÖPING</t>
        </is>
      </c>
      <c r="F1455" t="inlineStr">
        <is>
          <t>Övriga statliga verk och myndigheter</t>
        </is>
      </c>
      <c r="G1455" t="n">
        <v>19.8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s="2" t="inlineStr"/>
    </row>
    <row r="1456" ht="15" customHeight="1">
      <c r="A1456" t="inlineStr">
        <is>
          <t>A 49633-2019</t>
        </is>
      </c>
      <c r="B1456" s="1" t="n">
        <v>43732</v>
      </c>
      <c r="C1456" s="1" t="n">
        <v>45211</v>
      </c>
      <c r="D1456" t="inlineStr">
        <is>
          <t>ÖSTERGÖTLANDS LÄN</t>
        </is>
      </c>
      <c r="E1456" t="inlineStr">
        <is>
          <t>LINKÖPING</t>
        </is>
      </c>
      <c r="F1456" t="inlineStr">
        <is>
          <t>Övriga statliga verk och myndigheter</t>
        </is>
      </c>
      <c r="G1456" t="n">
        <v>3.7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s="2" t="inlineStr"/>
    </row>
    <row r="1457" ht="15" customHeight="1">
      <c r="A1457" t="inlineStr">
        <is>
          <t>A 49420-2019</t>
        </is>
      </c>
      <c r="B1457" s="1" t="n">
        <v>43732</v>
      </c>
      <c r="C1457" s="1" t="n">
        <v>45211</v>
      </c>
      <c r="D1457" t="inlineStr">
        <is>
          <t>ÖSTERGÖTLANDS LÄN</t>
        </is>
      </c>
      <c r="E1457" t="inlineStr">
        <is>
          <t>MJÖLBY</t>
        </is>
      </c>
      <c r="G1457" t="n">
        <v>0.6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s="2" t="inlineStr"/>
    </row>
    <row r="1458" ht="15" customHeight="1">
      <c r="A1458" t="inlineStr">
        <is>
          <t>A 49532-2019</t>
        </is>
      </c>
      <c r="B1458" s="1" t="n">
        <v>43732</v>
      </c>
      <c r="C1458" s="1" t="n">
        <v>45211</v>
      </c>
      <c r="D1458" t="inlineStr">
        <is>
          <t>ÖSTERGÖTLANDS LÄN</t>
        </is>
      </c>
      <c r="E1458" t="inlineStr">
        <is>
          <t>ÖDESHÖG</t>
        </is>
      </c>
      <c r="G1458" t="n">
        <v>0.9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s="2" t="inlineStr"/>
    </row>
    <row r="1459" ht="15" customHeight="1">
      <c r="A1459" t="inlineStr">
        <is>
          <t>A 49588-2019</t>
        </is>
      </c>
      <c r="B1459" s="1" t="n">
        <v>43732</v>
      </c>
      <c r="C1459" s="1" t="n">
        <v>45211</v>
      </c>
      <c r="D1459" t="inlineStr">
        <is>
          <t>ÖSTERGÖTLANDS LÄN</t>
        </is>
      </c>
      <c r="E1459" t="inlineStr">
        <is>
          <t>LINKÖPING</t>
        </is>
      </c>
      <c r="F1459" t="inlineStr">
        <is>
          <t>Övriga statliga verk och myndigheter</t>
        </is>
      </c>
      <c r="G1459" t="n">
        <v>2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s="2" t="inlineStr"/>
    </row>
    <row r="1460" ht="15" customHeight="1">
      <c r="A1460" t="inlineStr">
        <is>
          <t>A 49631-2019</t>
        </is>
      </c>
      <c r="B1460" s="1" t="n">
        <v>43732</v>
      </c>
      <c r="C1460" s="1" t="n">
        <v>45211</v>
      </c>
      <c r="D1460" t="inlineStr">
        <is>
          <t>ÖSTERGÖTLANDS LÄN</t>
        </is>
      </c>
      <c r="E1460" t="inlineStr">
        <is>
          <t>LINKÖPING</t>
        </is>
      </c>
      <c r="F1460" t="inlineStr">
        <is>
          <t>Övriga statliga verk och myndigheter</t>
        </is>
      </c>
      <c r="G1460" t="n">
        <v>10.7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s="2" t="inlineStr"/>
    </row>
    <row r="1461" ht="15" customHeight="1">
      <c r="A1461" t="inlineStr">
        <is>
          <t>A 50015-2019</t>
        </is>
      </c>
      <c r="B1461" s="1" t="n">
        <v>43733</v>
      </c>
      <c r="C1461" s="1" t="n">
        <v>45211</v>
      </c>
      <c r="D1461" t="inlineStr">
        <is>
          <t>ÖSTERGÖTLANDS LÄN</t>
        </is>
      </c>
      <c r="E1461" t="inlineStr">
        <is>
          <t>FINSPÅNG</t>
        </is>
      </c>
      <c r="G1461" t="n">
        <v>3.3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s="2" t="inlineStr"/>
    </row>
    <row r="1462" ht="15" customHeight="1">
      <c r="A1462" t="inlineStr">
        <is>
          <t>A 49762-2019</t>
        </is>
      </c>
      <c r="B1462" s="1" t="n">
        <v>43733</v>
      </c>
      <c r="C1462" s="1" t="n">
        <v>45211</v>
      </c>
      <c r="D1462" t="inlineStr">
        <is>
          <t>ÖSTERGÖTLANDS LÄN</t>
        </is>
      </c>
      <c r="E1462" t="inlineStr">
        <is>
          <t>BOXHOLM</t>
        </is>
      </c>
      <c r="F1462" t="inlineStr">
        <is>
          <t>Allmännings- och besparingsskogar</t>
        </is>
      </c>
      <c r="G1462" t="n">
        <v>1.9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s="2" t="inlineStr"/>
    </row>
    <row r="1463" ht="15" customHeight="1">
      <c r="A1463" t="inlineStr">
        <is>
          <t>A 49796-2019</t>
        </is>
      </c>
      <c r="B1463" s="1" t="n">
        <v>43733</v>
      </c>
      <c r="C1463" s="1" t="n">
        <v>45211</v>
      </c>
      <c r="D1463" t="inlineStr">
        <is>
          <t>ÖSTERGÖTLANDS LÄN</t>
        </is>
      </c>
      <c r="E1463" t="inlineStr">
        <is>
          <t>MOTALA</t>
        </is>
      </c>
      <c r="F1463" t="inlineStr">
        <is>
          <t>Allmännings- och besparingsskogar</t>
        </is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s="2" t="inlineStr"/>
    </row>
    <row r="1464" ht="15" customHeight="1">
      <c r="A1464" t="inlineStr">
        <is>
          <t>A 49879-2019</t>
        </is>
      </c>
      <c r="B1464" s="1" t="n">
        <v>43733</v>
      </c>
      <c r="C1464" s="1" t="n">
        <v>45211</v>
      </c>
      <c r="D1464" t="inlineStr">
        <is>
          <t>ÖSTERGÖTLANDS LÄN</t>
        </is>
      </c>
      <c r="E1464" t="inlineStr">
        <is>
          <t>ÅTVIDABERG</t>
        </is>
      </c>
      <c r="G1464" t="n">
        <v>3.6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s="2" t="inlineStr"/>
    </row>
    <row r="1465" ht="15" customHeight="1">
      <c r="A1465" t="inlineStr">
        <is>
          <t>A 49740-2019</t>
        </is>
      </c>
      <c r="B1465" s="1" t="n">
        <v>43733</v>
      </c>
      <c r="C1465" s="1" t="n">
        <v>45211</v>
      </c>
      <c r="D1465" t="inlineStr">
        <is>
          <t>ÖSTERGÖTLANDS LÄN</t>
        </is>
      </c>
      <c r="E1465" t="inlineStr">
        <is>
          <t>BOXHOLM</t>
        </is>
      </c>
      <c r="F1465" t="inlineStr">
        <is>
          <t>Allmännings- och besparingsskogar</t>
        </is>
      </c>
      <c r="G1465" t="n">
        <v>1.1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s="2" t="inlineStr"/>
    </row>
    <row r="1466" ht="15" customHeight="1">
      <c r="A1466" t="inlineStr">
        <is>
          <t>A 49949-2019</t>
        </is>
      </c>
      <c r="B1466" s="1" t="n">
        <v>43733</v>
      </c>
      <c r="C1466" s="1" t="n">
        <v>45211</v>
      </c>
      <c r="D1466" t="inlineStr">
        <is>
          <t>ÖSTERGÖTLANDS LÄN</t>
        </is>
      </c>
      <c r="E1466" t="inlineStr">
        <is>
          <t>FINSPÅNG</t>
        </is>
      </c>
      <c r="G1466" t="n">
        <v>0.7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s="2" t="inlineStr"/>
    </row>
    <row r="1467" ht="15" customHeight="1">
      <c r="A1467" t="inlineStr">
        <is>
          <t>A 50106-2019</t>
        </is>
      </c>
      <c r="B1467" s="1" t="n">
        <v>43734</v>
      </c>
      <c r="C1467" s="1" t="n">
        <v>45211</v>
      </c>
      <c r="D1467" t="inlineStr">
        <is>
          <t>ÖSTERGÖTLANDS LÄN</t>
        </is>
      </c>
      <c r="E1467" t="inlineStr">
        <is>
          <t>MJÖLBY</t>
        </is>
      </c>
      <c r="G1467" t="n">
        <v>1.8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s="2" t="inlineStr"/>
    </row>
    <row r="1468" ht="15" customHeight="1">
      <c r="A1468" t="inlineStr">
        <is>
          <t>A 50079-2019</t>
        </is>
      </c>
      <c r="B1468" s="1" t="n">
        <v>43734</v>
      </c>
      <c r="C1468" s="1" t="n">
        <v>45211</v>
      </c>
      <c r="D1468" t="inlineStr">
        <is>
          <t>ÖSTERGÖTLANDS LÄN</t>
        </is>
      </c>
      <c r="E1468" t="inlineStr">
        <is>
          <t>LINKÖPING</t>
        </is>
      </c>
      <c r="G1468" t="n">
        <v>1.5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s="2" t="inlineStr"/>
    </row>
    <row r="1469" ht="15" customHeight="1">
      <c r="A1469" t="inlineStr">
        <is>
          <t>A 50272-2019</t>
        </is>
      </c>
      <c r="B1469" s="1" t="n">
        <v>43734</v>
      </c>
      <c r="C1469" s="1" t="n">
        <v>45211</v>
      </c>
      <c r="D1469" t="inlineStr">
        <is>
          <t>ÖSTERGÖTLANDS LÄN</t>
        </is>
      </c>
      <c r="E1469" t="inlineStr">
        <is>
          <t>FINSPÅNG</t>
        </is>
      </c>
      <c r="G1469" t="n">
        <v>0.5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s="2" t="inlineStr"/>
    </row>
    <row r="1470" ht="15" customHeight="1">
      <c r="A1470" t="inlineStr">
        <is>
          <t>A 50455-2019</t>
        </is>
      </c>
      <c r="B1470" s="1" t="n">
        <v>43735</v>
      </c>
      <c r="C1470" s="1" t="n">
        <v>45211</v>
      </c>
      <c r="D1470" t="inlineStr">
        <is>
          <t>ÖSTERGÖTLANDS LÄN</t>
        </is>
      </c>
      <c r="E1470" t="inlineStr">
        <is>
          <t>MOTALA</t>
        </is>
      </c>
      <c r="F1470" t="inlineStr">
        <is>
          <t>Övriga statliga verk och myndigheter</t>
        </is>
      </c>
      <c r="G1470" t="n">
        <v>5.4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s="2" t="inlineStr"/>
    </row>
    <row r="1471" ht="15" customHeight="1">
      <c r="A1471" t="inlineStr">
        <is>
          <t>A 50432-2019</t>
        </is>
      </c>
      <c r="B1471" s="1" t="n">
        <v>43735</v>
      </c>
      <c r="C1471" s="1" t="n">
        <v>45211</v>
      </c>
      <c r="D1471" t="inlineStr">
        <is>
          <t>ÖSTERGÖTLANDS LÄN</t>
        </is>
      </c>
      <c r="E1471" t="inlineStr">
        <is>
          <t>KINDA</t>
        </is>
      </c>
      <c r="G1471" t="n">
        <v>1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s="2" t="inlineStr"/>
    </row>
    <row r="1472" ht="15" customHeight="1">
      <c r="A1472" t="inlineStr">
        <is>
          <t>A 50450-2019</t>
        </is>
      </c>
      <c r="B1472" s="1" t="n">
        <v>43735</v>
      </c>
      <c r="C1472" s="1" t="n">
        <v>45211</v>
      </c>
      <c r="D1472" t="inlineStr">
        <is>
          <t>ÖSTERGÖTLANDS LÄN</t>
        </is>
      </c>
      <c r="E1472" t="inlineStr">
        <is>
          <t>LINKÖPING</t>
        </is>
      </c>
      <c r="F1472" t="inlineStr">
        <is>
          <t>Övriga statliga verk och myndigheter</t>
        </is>
      </c>
      <c r="G1472" t="n">
        <v>4.8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s="2" t="inlineStr"/>
    </row>
    <row r="1473" ht="15" customHeight="1">
      <c r="A1473" t="inlineStr">
        <is>
          <t>A 50563-2019</t>
        </is>
      </c>
      <c r="B1473" s="1" t="n">
        <v>43735</v>
      </c>
      <c r="C1473" s="1" t="n">
        <v>45211</v>
      </c>
      <c r="D1473" t="inlineStr">
        <is>
          <t>ÖSTERGÖTLANDS LÄN</t>
        </is>
      </c>
      <c r="E1473" t="inlineStr">
        <is>
          <t>YDRE</t>
        </is>
      </c>
      <c r="G1473" t="n">
        <v>0.9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s="2" t="inlineStr"/>
    </row>
    <row r="1474" ht="15" customHeight="1">
      <c r="A1474" t="inlineStr">
        <is>
          <t>A 50413-2019</t>
        </is>
      </c>
      <c r="B1474" s="1" t="n">
        <v>43735</v>
      </c>
      <c r="C1474" s="1" t="n">
        <v>45211</v>
      </c>
      <c r="D1474" t="inlineStr">
        <is>
          <t>ÖSTERGÖTLANDS LÄN</t>
        </is>
      </c>
      <c r="E1474" t="inlineStr">
        <is>
          <t>LINKÖPING</t>
        </is>
      </c>
      <c r="G1474" t="n">
        <v>3.7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s="2" t="inlineStr"/>
    </row>
    <row r="1475" ht="15" customHeight="1">
      <c r="A1475" t="inlineStr">
        <is>
          <t>A 50459-2019</t>
        </is>
      </c>
      <c r="B1475" s="1" t="n">
        <v>43735</v>
      </c>
      <c r="C1475" s="1" t="n">
        <v>45211</v>
      </c>
      <c r="D1475" t="inlineStr">
        <is>
          <t>ÖSTERGÖTLANDS LÄN</t>
        </is>
      </c>
      <c r="E1475" t="inlineStr">
        <is>
          <t>MOTALA</t>
        </is>
      </c>
      <c r="F1475" t="inlineStr">
        <is>
          <t>Övriga statliga verk och myndigheter</t>
        </is>
      </c>
      <c r="G1475" t="n">
        <v>3.9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s="2" t="inlineStr"/>
    </row>
    <row r="1476" ht="15" customHeight="1">
      <c r="A1476" t="inlineStr">
        <is>
          <t>A 50617-2019</t>
        </is>
      </c>
      <c r="B1476" s="1" t="n">
        <v>43736</v>
      </c>
      <c r="C1476" s="1" t="n">
        <v>45211</v>
      </c>
      <c r="D1476" t="inlineStr">
        <is>
          <t>ÖSTERGÖTLANDS LÄN</t>
        </is>
      </c>
      <c r="E1476" t="inlineStr">
        <is>
          <t>FINSPÅNG</t>
        </is>
      </c>
      <c r="G1476" t="n">
        <v>0.9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s="2" t="inlineStr"/>
    </row>
    <row r="1477" ht="15" customHeight="1">
      <c r="A1477" t="inlineStr">
        <is>
          <t>A 50621-2019</t>
        </is>
      </c>
      <c r="B1477" s="1" t="n">
        <v>43736</v>
      </c>
      <c r="C1477" s="1" t="n">
        <v>45211</v>
      </c>
      <c r="D1477" t="inlineStr">
        <is>
          <t>ÖSTERGÖTLANDS LÄN</t>
        </is>
      </c>
      <c r="E1477" t="inlineStr">
        <is>
          <t>FINSPÅNG</t>
        </is>
      </c>
      <c r="G1477" t="n">
        <v>1.7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s="2" t="inlineStr"/>
    </row>
    <row r="1478" ht="15" customHeight="1">
      <c r="A1478" t="inlineStr">
        <is>
          <t>A 50620-2019</t>
        </is>
      </c>
      <c r="B1478" s="1" t="n">
        <v>43736</v>
      </c>
      <c r="C1478" s="1" t="n">
        <v>45211</v>
      </c>
      <c r="D1478" t="inlineStr">
        <is>
          <t>ÖSTERGÖTLANDS LÄN</t>
        </is>
      </c>
      <c r="E1478" t="inlineStr">
        <is>
          <t>FINSPÅNG</t>
        </is>
      </c>
      <c r="G1478" t="n">
        <v>1.5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s="2" t="inlineStr"/>
    </row>
    <row r="1479" ht="15" customHeight="1">
      <c r="A1479" t="inlineStr">
        <is>
          <t>A 50813-2019</t>
        </is>
      </c>
      <c r="B1479" s="1" t="n">
        <v>43738</v>
      </c>
      <c r="C1479" s="1" t="n">
        <v>45211</v>
      </c>
      <c r="D1479" t="inlineStr">
        <is>
          <t>ÖSTERGÖTLANDS LÄN</t>
        </is>
      </c>
      <c r="E1479" t="inlineStr">
        <is>
          <t>YDRE</t>
        </is>
      </c>
      <c r="G1479" t="n">
        <v>3.1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s="2" t="inlineStr"/>
    </row>
    <row r="1480" ht="15" customHeight="1">
      <c r="A1480" t="inlineStr">
        <is>
          <t>A 50805-2019</t>
        </is>
      </c>
      <c r="B1480" s="1" t="n">
        <v>43738</v>
      </c>
      <c r="C1480" s="1" t="n">
        <v>45211</v>
      </c>
      <c r="D1480" t="inlineStr">
        <is>
          <t>ÖSTERGÖTLANDS LÄN</t>
        </is>
      </c>
      <c r="E1480" t="inlineStr">
        <is>
          <t>FINSPÅNG</t>
        </is>
      </c>
      <c r="F1480" t="inlineStr">
        <is>
          <t>Holmen skog AB</t>
        </is>
      </c>
      <c r="G1480" t="n">
        <v>0.5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s="2" t="inlineStr"/>
    </row>
    <row r="1481" ht="15" customHeight="1">
      <c r="A1481" t="inlineStr">
        <is>
          <t>A 50927-2019</t>
        </is>
      </c>
      <c r="B1481" s="1" t="n">
        <v>43738</v>
      </c>
      <c r="C1481" s="1" t="n">
        <v>45211</v>
      </c>
      <c r="D1481" t="inlineStr">
        <is>
          <t>ÖSTERGÖTLANDS LÄN</t>
        </is>
      </c>
      <c r="E1481" t="inlineStr">
        <is>
          <t>FINSPÅNG</t>
        </is>
      </c>
      <c r="F1481" t="inlineStr">
        <is>
          <t>Holmen skog AB</t>
        </is>
      </c>
      <c r="G1481" t="n">
        <v>0.5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s="2" t="inlineStr"/>
    </row>
    <row r="1482" ht="15" customHeight="1">
      <c r="A1482" t="inlineStr">
        <is>
          <t>A 50959-2019</t>
        </is>
      </c>
      <c r="B1482" s="1" t="n">
        <v>43738</v>
      </c>
      <c r="C1482" s="1" t="n">
        <v>45211</v>
      </c>
      <c r="D1482" t="inlineStr">
        <is>
          <t>ÖSTERGÖTLANDS LÄN</t>
        </is>
      </c>
      <c r="E1482" t="inlineStr">
        <is>
          <t>MOTALA</t>
        </is>
      </c>
      <c r="G1482" t="n">
        <v>1.8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s="2" t="inlineStr"/>
    </row>
    <row r="1483" ht="15" customHeight="1">
      <c r="A1483" t="inlineStr">
        <is>
          <t>A 51010-2019</t>
        </is>
      </c>
      <c r="B1483" s="1" t="n">
        <v>43738</v>
      </c>
      <c r="C1483" s="1" t="n">
        <v>45211</v>
      </c>
      <c r="D1483" t="inlineStr">
        <is>
          <t>ÖSTERGÖTLANDS LÄN</t>
        </is>
      </c>
      <c r="E1483" t="inlineStr">
        <is>
          <t>FINSPÅNG</t>
        </is>
      </c>
      <c r="G1483" t="n">
        <v>0.5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s="2" t="inlineStr"/>
    </row>
    <row r="1484" ht="15" customHeight="1">
      <c r="A1484" t="inlineStr">
        <is>
          <t>A 50962-2019</t>
        </is>
      </c>
      <c r="B1484" s="1" t="n">
        <v>43738</v>
      </c>
      <c r="C1484" s="1" t="n">
        <v>45211</v>
      </c>
      <c r="D1484" t="inlineStr">
        <is>
          <t>ÖSTERGÖTLANDS LÄN</t>
        </is>
      </c>
      <c r="E1484" t="inlineStr">
        <is>
          <t>MOTALA</t>
        </is>
      </c>
      <c r="G1484" t="n">
        <v>0.7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s="2" t="inlineStr"/>
    </row>
    <row r="1485" ht="15" customHeight="1">
      <c r="A1485" t="inlineStr">
        <is>
          <t>A 50686-2019</t>
        </is>
      </c>
      <c r="B1485" s="1" t="n">
        <v>43738</v>
      </c>
      <c r="C1485" s="1" t="n">
        <v>45211</v>
      </c>
      <c r="D1485" t="inlineStr">
        <is>
          <t>ÖSTERGÖTLANDS LÄN</t>
        </is>
      </c>
      <c r="E1485" t="inlineStr">
        <is>
          <t>MOTALA</t>
        </is>
      </c>
      <c r="F1485" t="inlineStr">
        <is>
          <t>Övriga statliga verk och myndigheter</t>
        </is>
      </c>
      <c r="G1485" t="n">
        <v>4.3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s="2" t="inlineStr"/>
    </row>
    <row r="1486" ht="15" customHeight="1">
      <c r="A1486" t="inlineStr">
        <is>
          <t>A 50901-2019</t>
        </is>
      </c>
      <c r="B1486" s="1" t="n">
        <v>43738</v>
      </c>
      <c r="C1486" s="1" t="n">
        <v>45211</v>
      </c>
      <c r="D1486" t="inlineStr">
        <is>
          <t>ÖSTERGÖTLANDS LÄN</t>
        </is>
      </c>
      <c r="E1486" t="inlineStr">
        <is>
          <t>LINKÖPING</t>
        </is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s="2" t="inlineStr"/>
    </row>
    <row r="1487" ht="15" customHeight="1">
      <c r="A1487" t="inlineStr">
        <is>
          <t>A 51194-2019</t>
        </is>
      </c>
      <c r="B1487" s="1" t="n">
        <v>43739</v>
      </c>
      <c r="C1487" s="1" t="n">
        <v>45211</v>
      </c>
      <c r="D1487" t="inlineStr">
        <is>
          <t>ÖSTERGÖTLANDS LÄN</t>
        </is>
      </c>
      <c r="E1487" t="inlineStr">
        <is>
          <t>MOTALA</t>
        </is>
      </c>
      <c r="G1487" t="n">
        <v>7.5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s="2" t="inlineStr"/>
    </row>
    <row r="1488" ht="15" customHeight="1">
      <c r="A1488" t="inlineStr">
        <is>
          <t>A 51438-2019</t>
        </is>
      </c>
      <c r="B1488" s="1" t="n">
        <v>43740</v>
      </c>
      <c r="C1488" s="1" t="n">
        <v>45211</v>
      </c>
      <c r="D1488" t="inlineStr">
        <is>
          <t>ÖSTERGÖTLANDS LÄN</t>
        </is>
      </c>
      <c r="E1488" t="inlineStr">
        <is>
          <t>KINDA</t>
        </is>
      </c>
      <c r="G1488" t="n">
        <v>0.6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s="2" t="inlineStr"/>
    </row>
    <row r="1489" ht="15" customHeight="1">
      <c r="A1489" t="inlineStr">
        <is>
          <t>A 51881-2019</t>
        </is>
      </c>
      <c r="B1489" s="1" t="n">
        <v>43741</v>
      </c>
      <c r="C1489" s="1" t="n">
        <v>45211</v>
      </c>
      <c r="D1489" t="inlineStr">
        <is>
          <t>ÖSTERGÖTLANDS LÄN</t>
        </is>
      </c>
      <c r="E1489" t="inlineStr">
        <is>
          <t>BOXHOLM</t>
        </is>
      </c>
      <c r="F1489" t="inlineStr">
        <is>
          <t>Övriga Aktiebolag</t>
        </is>
      </c>
      <c r="G1489" t="n">
        <v>2.6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s="2" t="inlineStr"/>
    </row>
    <row r="1490" ht="15" customHeight="1">
      <c r="A1490" t="inlineStr">
        <is>
          <t>A 51924-2019</t>
        </is>
      </c>
      <c r="B1490" s="1" t="n">
        <v>43741</v>
      </c>
      <c r="C1490" s="1" t="n">
        <v>45211</v>
      </c>
      <c r="D1490" t="inlineStr">
        <is>
          <t>ÖSTERGÖTLANDS LÄN</t>
        </is>
      </c>
      <c r="E1490" t="inlineStr">
        <is>
          <t>NORRKÖPING</t>
        </is>
      </c>
      <c r="G1490" t="n">
        <v>1.7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s="2" t="inlineStr"/>
    </row>
    <row r="1491" ht="15" customHeight="1">
      <c r="A1491" t="inlineStr">
        <is>
          <t>A 52010-2019</t>
        </is>
      </c>
      <c r="B1491" s="1" t="n">
        <v>43742</v>
      </c>
      <c r="C1491" s="1" t="n">
        <v>45211</v>
      </c>
      <c r="D1491" t="inlineStr">
        <is>
          <t>ÖSTERGÖTLANDS LÄN</t>
        </is>
      </c>
      <c r="E1491" t="inlineStr">
        <is>
          <t>KINDA</t>
        </is>
      </c>
      <c r="G1491" t="n">
        <v>1.2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s="2" t="inlineStr"/>
    </row>
    <row r="1492" ht="15" customHeight="1">
      <c r="A1492" t="inlineStr">
        <is>
          <t>A 52150-2019</t>
        </is>
      </c>
      <c r="B1492" s="1" t="n">
        <v>43742</v>
      </c>
      <c r="C1492" s="1" t="n">
        <v>45211</v>
      </c>
      <c r="D1492" t="inlineStr">
        <is>
          <t>ÖSTERGÖTLANDS LÄN</t>
        </is>
      </c>
      <c r="E1492" t="inlineStr">
        <is>
          <t>ÖDESHÖG</t>
        </is>
      </c>
      <c r="G1492" t="n">
        <v>4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s="2" t="inlineStr"/>
    </row>
    <row r="1493" ht="15" customHeight="1">
      <c r="A1493" t="inlineStr">
        <is>
          <t>A 54265-2019</t>
        </is>
      </c>
      <c r="B1493" s="1" t="n">
        <v>43745</v>
      </c>
      <c r="C1493" s="1" t="n">
        <v>45211</v>
      </c>
      <c r="D1493" t="inlineStr">
        <is>
          <t>ÖSTERGÖTLANDS LÄN</t>
        </is>
      </c>
      <c r="E1493" t="inlineStr">
        <is>
          <t>NORRKÖPING</t>
        </is>
      </c>
      <c r="G1493" t="n">
        <v>18.6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s="2" t="inlineStr"/>
    </row>
    <row r="1494" ht="15" customHeight="1">
      <c r="A1494" t="inlineStr">
        <is>
          <t>A 52520-2019</t>
        </is>
      </c>
      <c r="B1494" s="1" t="n">
        <v>43745</v>
      </c>
      <c r="C1494" s="1" t="n">
        <v>45211</v>
      </c>
      <c r="D1494" t="inlineStr">
        <is>
          <t>ÖSTERGÖTLANDS LÄN</t>
        </is>
      </c>
      <c r="E1494" t="inlineStr">
        <is>
          <t>SÖDERKÖPING</t>
        </is>
      </c>
      <c r="G1494" t="n">
        <v>30.5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s="2" t="inlineStr"/>
    </row>
    <row r="1495" ht="15" customHeight="1">
      <c r="A1495" t="inlineStr">
        <is>
          <t>A 52468-2019</t>
        </is>
      </c>
      <c r="B1495" s="1" t="n">
        <v>43745</v>
      </c>
      <c r="C1495" s="1" t="n">
        <v>45211</v>
      </c>
      <c r="D1495" t="inlineStr">
        <is>
          <t>ÖSTERGÖTLANDS LÄN</t>
        </is>
      </c>
      <c r="E1495" t="inlineStr">
        <is>
          <t>NORRKÖPING</t>
        </is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s="2" t="inlineStr"/>
    </row>
    <row r="1496" ht="15" customHeight="1">
      <c r="A1496" t="inlineStr">
        <is>
          <t>A 52297-2019</t>
        </is>
      </c>
      <c r="B1496" s="1" t="n">
        <v>43745</v>
      </c>
      <c r="C1496" s="1" t="n">
        <v>45211</v>
      </c>
      <c r="D1496" t="inlineStr">
        <is>
          <t>ÖSTERGÖTLANDS LÄN</t>
        </is>
      </c>
      <c r="E1496" t="inlineStr">
        <is>
          <t>MOTALA</t>
        </is>
      </c>
      <c r="G1496" t="n">
        <v>6.3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s="2" t="inlineStr"/>
    </row>
    <row r="1497" ht="15" customHeight="1">
      <c r="A1497" t="inlineStr">
        <is>
          <t>A 52702-2019</t>
        </is>
      </c>
      <c r="B1497" s="1" t="n">
        <v>43746</v>
      </c>
      <c r="C1497" s="1" t="n">
        <v>45211</v>
      </c>
      <c r="D1497" t="inlineStr">
        <is>
          <t>ÖSTERGÖTLANDS LÄN</t>
        </is>
      </c>
      <c r="E1497" t="inlineStr">
        <is>
          <t>FINSPÅNG</t>
        </is>
      </c>
      <c r="F1497" t="inlineStr">
        <is>
          <t>Holmen skog AB</t>
        </is>
      </c>
      <c r="G1497" t="n">
        <v>0.4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s="2" t="inlineStr"/>
    </row>
    <row r="1498" ht="15" customHeight="1">
      <c r="A1498" t="inlineStr">
        <is>
          <t>A 52686-2019</t>
        </is>
      </c>
      <c r="B1498" s="1" t="n">
        <v>43746</v>
      </c>
      <c r="C1498" s="1" t="n">
        <v>45211</v>
      </c>
      <c r="D1498" t="inlineStr">
        <is>
          <t>ÖSTERGÖTLANDS LÄN</t>
        </is>
      </c>
      <c r="E1498" t="inlineStr">
        <is>
          <t>LINKÖPING</t>
        </is>
      </c>
      <c r="F1498" t="inlineStr">
        <is>
          <t>Övriga statliga verk och myndigheter</t>
        </is>
      </c>
      <c r="G1498" t="n">
        <v>1.7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s="2" t="inlineStr"/>
    </row>
    <row r="1499" ht="15" customHeight="1">
      <c r="A1499" t="inlineStr">
        <is>
          <t>A 52729-2019</t>
        </is>
      </c>
      <c r="B1499" s="1" t="n">
        <v>43746</v>
      </c>
      <c r="C1499" s="1" t="n">
        <v>45211</v>
      </c>
      <c r="D1499" t="inlineStr">
        <is>
          <t>ÖSTERGÖTLANDS LÄN</t>
        </is>
      </c>
      <c r="E1499" t="inlineStr">
        <is>
          <t>LINKÖPING</t>
        </is>
      </c>
      <c r="F1499" t="inlineStr">
        <is>
          <t>Övriga statliga verk och myndigheter</t>
        </is>
      </c>
      <c r="G1499" t="n">
        <v>4.5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s="2" t="inlineStr"/>
    </row>
    <row r="1500" ht="15" customHeight="1">
      <c r="A1500" t="inlineStr">
        <is>
          <t>A 52784-2019</t>
        </is>
      </c>
      <c r="B1500" s="1" t="n">
        <v>43746</v>
      </c>
      <c r="C1500" s="1" t="n">
        <v>45211</v>
      </c>
      <c r="D1500" t="inlineStr">
        <is>
          <t>ÖSTERGÖTLANDS LÄN</t>
        </is>
      </c>
      <c r="E1500" t="inlineStr">
        <is>
          <t>MOTALA</t>
        </is>
      </c>
      <c r="F1500" t="inlineStr">
        <is>
          <t>Övriga statliga verk och myndigheter</t>
        </is>
      </c>
      <c r="G1500" t="n">
        <v>1.4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s="2" t="inlineStr"/>
    </row>
    <row r="1501" ht="15" customHeight="1">
      <c r="A1501" t="inlineStr">
        <is>
          <t>A 52781-2019</t>
        </is>
      </c>
      <c r="B1501" s="1" t="n">
        <v>43746</v>
      </c>
      <c r="C1501" s="1" t="n">
        <v>45211</v>
      </c>
      <c r="D1501" t="inlineStr">
        <is>
          <t>ÖSTERGÖTLANDS LÄN</t>
        </is>
      </c>
      <c r="E1501" t="inlineStr">
        <is>
          <t>MOTALA</t>
        </is>
      </c>
      <c r="F1501" t="inlineStr">
        <is>
          <t>Övriga statliga verk och myndigheter</t>
        </is>
      </c>
      <c r="G1501" t="n">
        <v>2.7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s="2" t="inlineStr"/>
    </row>
    <row r="1502" ht="15" customHeight="1">
      <c r="A1502" t="inlineStr">
        <is>
          <t>A 52786-2019</t>
        </is>
      </c>
      <c r="B1502" s="1" t="n">
        <v>43746</v>
      </c>
      <c r="C1502" s="1" t="n">
        <v>45211</v>
      </c>
      <c r="D1502" t="inlineStr">
        <is>
          <t>ÖSTERGÖTLANDS LÄN</t>
        </is>
      </c>
      <c r="E1502" t="inlineStr">
        <is>
          <t>MOTALA</t>
        </is>
      </c>
      <c r="F1502" t="inlineStr">
        <is>
          <t>Övriga statliga verk och myndigheter</t>
        </is>
      </c>
      <c r="G1502" t="n">
        <v>9.300000000000001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s="2" t="inlineStr"/>
    </row>
    <row r="1503" ht="15" customHeight="1">
      <c r="A1503" t="inlineStr">
        <is>
          <t>A 53090-2019</t>
        </is>
      </c>
      <c r="B1503" s="1" t="n">
        <v>43747</v>
      </c>
      <c r="C1503" s="1" t="n">
        <v>45211</v>
      </c>
      <c r="D1503" t="inlineStr">
        <is>
          <t>ÖSTERGÖTLANDS LÄN</t>
        </is>
      </c>
      <c r="E1503" t="inlineStr">
        <is>
          <t>ÖDESHÖG</t>
        </is>
      </c>
      <c r="G1503" t="n">
        <v>3.7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s="2" t="inlineStr"/>
    </row>
    <row r="1504" ht="15" customHeight="1">
      <c r="A1504" t="inlineStr">
        <is>
          <t>A 53101-2019</t>
        </is>
      </c>
      <c r="B1504" s="1" t="n">
        <v>43747</v>
      </c>
      <c r="C1504" s="1" t="n">
        <v>45211</v>
      </c>
      <c r="D1504" t="inlineStr">
        <is>
          <t>ÖSTERGÖTLANDS LÄN</t>
        </is>
      </c>
      <c r="E1504" t="inlineStr">
        <is>
          <t>FINSPÅNG</t>
        </is>
      </c>
      <c r="F1504" t="inlineStr">
        <is>
          <t>Holmen skog AB</t>
        </is>
      </c>
      <c r="G1504" t="n">
        <v>0.7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s="2" t="inlineStr"/>
    </row>
    <row r="1505" ht="15" customHeight="1">
      <c r="A1505" t="inlineStr">
        <is>
          <t>A 54551-2019</t>
        </is>
      </c>
      <c r="B1505" s="1" t="n">
        <v>43748</v>
      </c>
      <c r="C1505" s="1" t="n">
        <v>45211</v>
      </c>
      <c r="D1505" t="inlineStr">
        <is>
          <t>ÖSTERGÖTLANDS LÄN</t>
        </is>
      </c>
      <c r="E1505" t="inlineStr">
        <is>
          <t>KINDA</t>
        </is>
      </c>
      <c r="G1505" t="n">
        <v>1.2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s="2" t="inlineStr"/>
    </row>
    <row r="1506" ht="15" customHeight="1">
      <c r="A1506" t="inlineStr">
        <is>
          <t>A 53238-2019</t>
        </is>
      </c>
      <c r="B1506" s="1" t="n">
        <v>43748</v>
      </c>
      <c r="C1506" s="1" t="n">
        <v>45211</v>
      </c>
      <c r="D1506" t="inlineStr">
        <is>
          <t>ÖSTERGÖTLANDS LÄN</t>
        </is>
      </c>
      <c r="E1506" t="inlineStr">
        <is>
          <t>YDRE</t>
        </is>
      </c>
      <c r="G1506" t="n">
        <v>0.6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s="2" t="inlineStr"/>
    </row>
    <row r="1507" ht="15" customHeight="1">
      <c r="A1507" t="inlineStr">
        <is>
          <t>A 54539-2019</t>
        </is>
      </c>
      <c r="B1507" s="1" t="n">
        <v>43748</v>
      </c>
      <c r="C1507" s="1" t="n">
        <v>45211</v>
      </c>
      <c r="D1507" t="inlineStr">
        <is>
          <t>ÖSTERGÖTLANDS LÄN</t>
        </is>
      </c>
      <c r="E1507" t="inlineStr">
        <is>
          <t>KINDA</t>
        </is>
      </c>
      <c r="G1507" t="n">
        <v>13.2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s="2" t="inlineStr"/>
    </row>
    <row r="1508" ht="15" customHeight="1">
      <c r="A1508" t="inlineStr">
        <is>
          <t>A 53523-2019</t>
        </is>
      </c>
      <c r="B1508" s="1" t="n">
        <v>43749</v>
      </c>
      <c r="C1508" s="1" t="n">
        <v>45211</v>
      </c>
      <c r="D1508" t="inlineStr">
        <is>
          <t>ÖSTERGÖTLANDS LÄN</t>
        </is>
      </c>
      <c r="E1508" t="inlineStr">
        <is>
          <t>MOTALA</t>
        </is>
      </c>
      <c r="F1508" t="inlineStr">
        <is>
          <t>Sveaskog</t>
        </is>
      </c>
      <c r="G1508" t="n">
        <v>3.2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s="2" t="inlineStr"/>
    </row>
    <row r="1509" ht="15" customHeight="1">
      <c r="A1509" t="inlineStr">
        <is>
          <t>A 53675-2019</t>
        </is>
      </c>
      <c r="B1509" s="1" t="n">
        <v>43749</v>
      </c>
      <c r="C1509" s="1" t="n">
        <v>45211</v>
      </c>
      <c r="D1509" t="inlineStr">
        <is>
          <t>ÖSTERGÖTLANDS LÄN</t>
        </is>
      </c>
      <c r="E1509" t="inlineStr">
        <is>
          <t>NORRKÖPING</t>
        </is>
      </c>
      <c r="F1509" t="inlineStr">
        <is>
          <t>Holmen skog AB</t>
        </is>
      </c>
      <c r="G1509" t="n">
        <v>0.6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s="2" t="inlineStr"/>
    </row>
    <row r="1510" ht="15" customHeight="1">
      <c r="A1510" t="inlineStr">
        <is>
          <t>A 53524-2019</t>
        </is>
      </c>
      <c r="B1510" s="1" t="n">
        <v>43749</v>
      </c>
      <c r="C1510" s="1" t="n">
        <v>45211</v>
      </c>
      <c r="D1510" t="inlineStr">
        <is>
          <t>ÖSTERGÖTLANDS LÄN</t>
        </is>
      </c>
      <c r="E1510" t="inlineStr">
        <is>
          <t>MOTALA</t>
        </is>
      </c>
      <c r="F1510" t="inlineStr">
        <is>
          <t>Sveaskog</t>
        </is>
      </c>
      <c r="G1510" t="n">
        <v>2.6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s="2" t="inlineStr"/>
    </row>
    <row r="1511" ht="15" customHeight="1">
      <c r="A1511" t="inlineStr">
        <is>
          <t>A 53563-2019</t>
        </is>
      </c>
      <c r="B1511" s="1" t="n">
        <v>43749</v>
      </c>
      <c r="C1511" s="1" t="n">
        <v>45211</v>
      </c>
      <c r="D1511" t="inlineStr">
        <is>
          <t>ÖSTERGÖTLANDS LÄN</t>
        </is>
      </c>
      <c r="E1511" t="inlineStr">
        <is>
          <t>LINKÖPING</t>
        </is>
      </c>
      <c r="G1511" t="n">
        <v>1.5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s="2" t="inlineStr"/>
    </row>
    <row r="1512" ht="15" customHeight="1">
      <c r="A1512" t="inlineStr">
        <is>
          <t>A 53522-2019</t>
        </is>
      </c>
      <c r="B1512" s="1" t="n">
        <v>43749</v>
      </c>
      <c r="C1512" s="1" t="n">
        <v>45211</v>
      </c>
      <c r="D1512" t="inlineStr">
        <is>
          <t>ÖSTERGÖTLANDS LÄN</t>
        </is>
      </c>
      <c r="E1512" t="inlineStr">
        <is>
          <t>MOTALA</t>
        </is>
      </c>
      <c r="F1512" t="inlineStr">
        <is>
          <t>Sveaskog</t>
        </is>
      </c>
      <c r="G1512" t="n">
        <v>4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s="2" t="inlineStr"/>
    </row>
    <row r="1513" ht="15" customHeight="1">
      <c r="A1513" t="inlineStr">
        <is>
          <t>A 53539-2019</t>
        </is>
      </c>
      <c r="B1513" s="1" t="n">
        <v>43749</v>
      </c>
      <c r="C1513" s="1" t="n">
        <v>45211</v>
      </c>
      <c r="D1513" t="inlineStr">
        <is>
          <t>ÖSTERGÖTLANDS LÄN</t>
        </is>
      </c>
      <c r="E1513" t="inlineStr">
        <is>
          <t>MOTALA</t>
        </is>
      </c>
      <c r="F1513" t="inlineStr">
        <is>
          <t>Sveaskog</t>
        </is>
      </c>
      <c r="G1513" t="n">
        <v>1.4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s="2" t="inlineStr"/>
    </row>
    <row r="1514" ht="15" customHeight="1">
      <c r="A1514" t="inlineStr">
        <is>
          <t>A 54969-2019</t>
        </is>
      </c>
      <c r="B1514" s="1" t="n">
        <v>43749</v>
      </c>
      <c r="C1514" s="1" t="n">
        <v>45211</v>
      </c>
      <c r="D1514" t="inlineStr">
        <is>
          <t>ÖSTERGÖTLANDS LÄN</t>
        </is>
      </c>
      <c r="E1514" t="inlineStr">
        <is>
          <t>FINSPÅNG</t>
        </is>
      </c>
      <c r="F1514" t="inlineStr">
        <is>
          <t>Övriga Aktiebolag</t>
        </is>
      </c>
      <c r="G1514" t="n">
        <v>13.2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s="2" t="inlineStr"/>
    </row>
    <row r="1515" ht="15" customHeight="1">
      <c r="A1515" t="inlineStr">
        <is>
          <t>A 53763-2019</t>
        </is>
      </c>
      <c r="B1515" s="1" t="n">
        <v>43750</v>
      </c>
      <c r="C1515" s="1" t="n">
        <v>45211</v>
      </c>
      <c r="D1515" t="inlineStr">
        <is>
          <t>ÖSTERGÖTLANDS LÄN</t>
        </is>
      </c>
      <c r="E1515" t="inlineStr">
        <is>
          <t>MOTALA</t>
        </is>
      </c>
      <c r="G1515" t="n">
        <v>1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s="2" t="inlineStr"/>
    </row>
    <row r="1516" ht="15" customHeight="1">
      <c r="A1516" t="inlineStr">
        <is>
          <t>A 53871-2019</t>
        </is>
      </c>
      <c r="B1516" s="1" t="n">
        <v>43752</v>
      </c>
      <c r="C1516" s="1" t="n">
        <v>45211</v>
      </c>
      <c r="D1516" t="inlineStr">
        <is>
          <t>ÖSTERGÖTLANDS LÄN</t>
        </is>
      </c>
      <c r="E1516" t="inlineStr">
        <is>
          <t>NORRKÖPING</t>
        </is>
      </c>
      <c r="G1516" t="n">
        <v>1.2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s="2" t="inlineStr"/>
    </row>
    <row r="1517" ht="15" customHeight="1">
      <c r="A1517" t="inlineStr">
        <is>
          <t>A 54110-2019</t>
        </is>
      </c>
      <c r="B1517" s="1" t="n">
        <v>43752</v>
      </c>
      <c r="C1517" s="1" t="n">
        <v>45211</v>
      </c>
      <c r="D1517" t="inlineStr">
        <is>
          <t>ÖSTERGÖTLANDS LÄN</t>
        </is>
      </c>
      <c r="E1517" t="inlineStr">
        <is>
          <t>LINKÖPING</t>
        </is>
      </c>
      <c r="F1517" t="inlineStr">
        <is>
          <t>Övriga Aktiebolag</t>
        </is>
      </c>
      <c r="G1517" t="n">
        <v>0.6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s="2" t="inlineStr"/>
    </row>
    <row r="1518" ht="15" customHeight="1">
      <c r="A1518" t="inlineStr">
        <is>
          <t>A 53869-2019</t>
        </is>
      </c>
      <c r="B1518" s="1" t="n">
        <v>43752</v>
      </c>
      <c r="C1518" s="1" t="n">
        <v>45211</v>
      </c>
      <c r="D1518" t="inlineStr">
        <is>
          <t>ÖSTERGÖTLANDS LÄN</t>
        </is>
      </c>
      <c r="E1518" t="inlineStr">
        <is>
          <t>NORRKÖPING</t>
        </is>
      </c>
      <c r="F1518" t="inlineStr">
        <is>
          <t>Allmännings- och besparingsskogar</t>
        </is>
      </c>
      <c r="G1518" t="n">
        <v>4.4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s="2" t="inlineStr"/>
    </row>
    <row r="1519" ht="15" customHeight="1">
      <c r="A1519" t="inlineStr">
        <is>
          <t>A 54268-2019</t>
        </is>
      </c>
      <c r="B1519" s="1" t="n">
        <v>43753</v>
      </c>
      <c r="C1519" s="1" t="n">
        <v>45211</v>
      </c>
      <c r="D1519" t="inlineStr">
        <is>
          <t>ÖSTERGÖTLANDS LÄN</t>
        </is>
      </c>
      <c r="E1519" t="inlineStr">
        <is>
          <t>LINKÖPING</t>
        </is>
      </c>
      <c r="G1519" t="n">
        <v>1.4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s="2" t="inlineStr"/>
    </row>
    <row r="1520" ht="15" customHeight="1">
      <c r="A1520" t="inlineStr">
        <is>
          <t>A 54345-2019</t>
        </is>
      </c>
      <c r="B1520" s="1" t="n">
        <v>43753</v>
      </c>
      <c r="C1520" s="1" t="n">
        <v>45211</v>
      </c>
      <c r="D1520" t="inlineStr">
        <is>
          <t>ÖSTERGÖTLANDS LÄN</t>
        </is>
      </c>
      <c r="E1520" t="inlineStr">
        <is>
          <t>MOTALA</t>
        </is>
      </c>
      <c r="G1520" t="n">
        <v>9.4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s="2" t="inlineStr"/>
    </row>
    <row r="1521" ht="15" customHeight="1">
      <c r="A1521" t="inlineStr">
        <is>
          <t>A 54341-2019</t>
        </is>
      </c>
      <c r="B1521" s="1" t="n">
        <v>43753</v>
      </c>
      <c r="C1521" s="1" t="n">
        <v>45211</v>
      </c>
      <c r="D1521" t="inlineStr">
        <is>
          <t>ÖSTERGÖTLANDS LÄN</t>
        </is>
      </c>
      <c r="E1521" t="inlineStr">
        <is>
          <t>MOTALA</t>
        </is>
      </c>
      <c r="G1521" t="n">
        <v>4.9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s="2" t="inlineStr"/>
    </row>
    <row r="1522" ht="15" customHeight="1">
      <c r="A1522" t="inlineStr">
        <is>
          <t>A 54287-2019</t>
        </is>
      </c>
      <c r="B1522" s="1" t="n">
        <v>43753</v>
      </c>
      <c r="C1522" s="1" t="n">
        <v>45211</v>
      </c>
      <c r="D1522" t="inlineStr">
        <is>
          <t>ÖSTERGÖTLANDS LÄN</t>
        </is>
      </c>
      <c r="E1522" t="inlineStr">
        <is>
          <t>NORRKÖPING</t>
        </is>
      </c>
      <c r="G1522" t="n">
        <v>7.1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s="2" t="inlineStr"/>
    </row>
    <row r="1523" ht="15" customHeight="1">
      <c r="A1523" t="inlineStr">
        <is>
          <t>A 54217-2019</t>
        </is>
      </c>
      <c r="B1523" s="1" t="n">
        <v>43753</v>
      </c>
      <c r="C1523" s="1" t="n">
        <v>45211</v>
      </c>
      <c r="D1523" t="inlineStr">
        <is>
          <t>ÖSTERGÖTLANDS LÄN</t>
        </is>
      </c>
      <c r="E1523" t="inlineStr">
        <is>
          <t>MOTALA</t>
        </is>
      </c>
      <c r="G1523" t="n">
        <v>2.8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s="2" t="inlineStr"/>
    </row>
    <row r="1524" ht="15" customHeight="1">
      <c r="A1524" t="inlineStr">
        <is>
          <t>A 54228-2019</t>
        </is>
      </c>
      <c r="B1524" s="1" t="n">
        <v>43753</v>
      </c>
      <c r="C1524" s="1" t="n">
        <v>45211</v>
      </c>
      <c r="D1524" t="inlineStr">
        <is>
          <t>ÖSTERGÖTLANDS LÄN</t>
        </is>
      </c>
      <c r="E1524" t="inlineStr">
        <is>
          <t>YDRE</t>
        </is>
      </c>
      <c r="F1524" t="inlineStr">
        <is>
          <t>Sveaskog</t>
        </is>
      </c>
      <c r="G1524" t="n">
        <v>2.3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s="2" t="inlineStr"/>
    </row>
    <row r="1525" ht="15" customHeight="1">
      <c r="A1525" t="inlineStr">
        <is>
          <t>A 55301-2019</t>
        </is>
      </c>
      <c r="B1525" s="1" t="n">
        <v>43754</v>
      </c>
      <c r="C1525" s="1" t="n">
        <v>45211</v>
      </c>
      <c r="D1525" t="inlineStr">
        <is>
          <t>ÖSTERGÖTLANDS LÄN</t>
        </is>
      </c>
      <c r="E1525" t="inlineStr">
        <is>
          <t>LINKÖPING</t>
        </is>
      </c>
      <c r="G1525" t="n">
        <v>1.7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s="2" t="inlineStr"/>
    </row>
    <row r="1526" ht="15" customHeight="1">
      <c r="A1526" t="inlineStr">
        <is>
          <t>A 54482-2019</t>
        </is>
      </c>
      <c r="B1526" s="1" t="n">
        <v>43754</v>
      </c>
      <c r="C1526" s="1" t="n">
        <v>45211</v>
      </c>
      <c r="D1526" t="inlineStr">
        <is>
          <t>ÖSTERGÖTLANDS LÄN</t>
        </is>
      </c>
      <c r="E1526" t="inlineStr">
        <is>
          <t>MOTALA</t>
        </is>
      </c>
      <c r="G1526" t="n">
        <v>4.6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s="2" t="inlineStr"/>
    </row>
    <row r="1527" ht="15" customHeight="1">
      <c r="A1527" t="inlineStr">
        <is>
          <t>A 54420-2019</t>
        </is>
      </c>
      <c r="B1527" s="1" t="n">
        <v>43754</v>
      </c>
      <c r="C1527" s="1" t="n">
        <v>45211</v>
      </c>
      <c r="D1527" t="inlineStr">
        <is>
          <t>ÖSTERGÖTLANDS LÄN</t>
        </is>
      </c>
      <c r="E1527" t="inlineStr">
        <is>
          <t>NORRKÖPING</t>
        </is>
      </c>
      <c r="G1527" t="n">
        <v>4.5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s="2" t="inlineStr"/>
    </row>
    <row r="1528" ht="15" customHeight="1">
      <c r="A1528" t="inlineStr">
        <is>
          <t>A 54751-2019</t>
        </is>
      </c>
      <c r="B1528" s="1" t="n">
        <v>43755</v>
      </c>
      <c r="C1528" s="1" t="n">
        <v>45211</v>
      </c>
      <c r="D1528" t="inlineStr">
        <is>
          <t>ÖSTERGÖTLANDS LÄN</t>
        </is>
      </c>
      <c r="E1528" t="inlineStr">
        <is>
          <t>MOTALA</t>
        </is>
      </c>
      <c r="F1528" t="inlineStr">
        <is>
          <t>Övriga statliga verk och myndigheter</t>
        </is>
      </c>
      <c r="G1528" t="n">
        <v>2.5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s="2" t="inlineStr"/>
    </row>
    <row r="1529" ht="15" customHeight="1">
      <c r="A1529" t="inlineStr">
        <is>
          <t>A 54992-2019</t>
        </is>
      </c>
      <c r="B1529" s="1" t="n">
        <v>43755</v>
      </c>
      <c r="C1529" s="1" t="n">
        <v>45211</v>
      </c>
      <c r="D1529" t="inlineStr">
        <is>
          <t>ÖSTERGÖTLANDS LÄN</t>
        </is>
      </c>
      <c r="E1529" t="inlineStr">
        <is>
          <t>FINSPÅNG</t>
        </is>
      </c>
      <c r="G1529" t="n">
        <v>0.6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s="2" t="inlineStr"/>
    </row>
    <row r="1530" ht="15" customHeight="1">
      <c r="A1530" t="inlineStr">
        <is>
          <t>A 54803-2019</t>
        </is>
      </c>
      <c r="B1530" s="1" t="n">
        <v>43755</v>
      </c>
      <c r="C1530" s="1" t="n">
        <v>45211</v>
      </c>
      <c r="D1530" t="inlineStr">
        <is>
          <t>ÖSTERGÖTLANDS LÄN</t>
        </is>
      </c>
      <c r="E1530" t="inlineStr">
        <is>
          <t>MOTALA</t>
        </is>
      </c>
      <c r="G1530" t="n">
        <v>1.3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s="2" t="inlineStr"/>
    </row>
    <row r="1531" ht="15" customHeight="1">
      <c r="A1531" t="inlineStr">
        <is>
          <t>A 54991-2019</t>
        </is>
      </c>
      <c r="B1531" s="1" t="n">
        <v>43755</v>
      </c>
      <c r="C1531" s="1" t="n">
        <v>45211</v>
      </c>
      <c r="D1531" t="inlineStr">
        <is>
          <t>ÖSTERGÖTLANDS LÄN</t>
        </is>
      </c>
      <c r="E1531" t="inlineStr">
        <is>
          <t>FINSPÅNG</t>
        </is>
      </c>
      <c r="G1531" t="n">
        <v>3.3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s="2" t="inlineStr"/>
    </row>
    <row r="1532" ht="15" customHeight="1">
      <c r="A1532" t="inlineStr">
        <is>
          <t>A 54714-2019</t>
        </is>
      </c>
      <c r="B1532" s="1" t="n">
        <v>43755</v>
      </c>
      <c r="C1532" s="1" t="n">
        <v>45211</v>
      </c>
      <c r="D1532" t="inlineStr">
        <is>
          <t>ÖSTERGÖTLANDS LÄN</t>
        </is>
      </c>
      <c r="E1532" t="inlineStr">
        <is>
          <t>MOTALA</t>
        </is>
      </c>
      <c r="F1532" t="inlineStr">
        <is>
          <t>Övriga statliga verk och myndigheter</t>
        </is>
      </c>
      <c r="G1532" t="n">
        <v>4.9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s="2" t="inlineStr"/>
    </row>
    <row r="1533" ht="15" customHeight="1">
      <c r="A1533" t="inlineStr">
        <is>
          <t>A 54724-2019</t>
        </is>
      </c>
      <c r="B1533" s="1" t="n">
        <v>43755</v>
      </c>
      <c r="C1533" s="1" t="n">
        <v>45211</v>
      </c>
      <c r="D1533" t="inlineStr">
        <is>
          <t>ÖSTERGÖTLANDS LÄN</t>
        </is>
      </c>
      <c r="E1533" t="inlineStr">
        <is>
          <t>MOTALA</t>
        </is>
      </c>
      <c r="F1533" t="inlineStr">
        <is>
          <t>Övriga statliga verk och myndigheter</t>
        </is>
      </c>
      <c r="G1533" t="n">
        <v>1.3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s="2" t="inlineStr"/>
    </row>
    <row r="1534" ht="15" customHeight="1">
      <c r="A1534" t="inlineStr">
        <is>
          <t>A 55086-2019</t>
        </is>
      </c>
      <c r="B1534" s="1" t="n">
        <v>43756</v>
      </c>
      <c r="C1534" s="1" t="n">
        <v>45211</v>
      </c>
      <c r="D1534" t="inlineStr">
        <is>
          <t>ÖSTERGÖTLANDS LÄN</t>
        </is>
      </c>
      <c r="E1534" t="inlineStr">
        <is>
          <t>NORRKÖPING</t>
        </is>
      </c>
      <c r="G1534" t="n">
        <v>1.5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s="2" t="inlineStr"/>
    </row>
    <row r="1535" ht="15" customHeight="1">
      <c r="A1535" t="inlineStr">
        <is>
          <t>A 55097-2019</t>
        </is>
      </c>
      <c r="B1535" s="1" t="n">
        <v>43756</v>
      </c>
      <c r="C1535" s="1" t="n">
        <v>45211</v>
      </c>
      <c r="D1535" t="inlineStr">
        <is>
          <t>ÖSTERGÖTLANDS LÄN</t>
        </is>
      </c>
      <c r="E1535" t="inlineStr">
        <is>
          <t>NORRKÖPING</t>
        </is>
      </c>
      <c r="G1535" t="n">
        <v>5.5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s="2" t="inlineStr"/>
    </row>
    <row r="1536" ht="15" customHeight="1">
      <c r="A1536" t="inlineStr">
        <is>
          <t>A 55114-2019</t>
        </is>
      </c>
      <c r="B1536" s="1" t="n">
        <v>43756</v>
      </c>
      <c r="C1536" s="1" t="n">
        <v>45211</v>
      </c>
      <c r="D1536" t="inlineStr">
        <is>
          <t>ÖSTERGÖTLANDS LÄN</t>
        </is>
      </c>
      <c r="E1536" t="inlineStr">
        <is>
          <t>MOTALA</t>
        </is>
      </c>
      <c r="F1536" t="inlineStr">
        <is>
          <t>Allmännings- och besparingsskogar</t>
        </is>
      </c>
      <c r="G1536" t="n">
        <v>3.1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s="2" t="inlineStr"/>
    </row>
    <row r="1537" ht="15" customHeight="1">
      <c r="A1537" t="inlineStr">
        <is>
          <t>A 55270-2019</t>
        </is>
      </c>
      <c r="B1537" s="1" t="n">
        <v>43756</v>
      </c>
      <c r="C1537" s="1" t="n">
        <v>45211</v>
      </c>
      <c r="D1537" t="inlineStr">
        <is>
          <t>ÖSTERGÖTLANDS LÄN</t>
        </is>
      </c>
      <c r="E1537" t="inlineStr">
        <is>
          <t>LINKÖPING</t>
        </is>
      </c>
      <c r="G1537" t="n">
        <v>4.2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s="2" t="inlineStr"/>
    </row>
    <row r="1538" ht="15" customHeight="1">
      <c r="A1538" t="inlineStr">
        <is>
          <t>A 55339-2019</t>
        </is>
      </c>
      <c r="B1538" s="1" t="n">
        <v>43756</v>
      </c>
      <c r="C1538" s="1" t="n">
        <v>45211</v>
      </c>
      <c r="D1538" t="inlineStr">
        <is>
          <t>ÖSTERGÖTLANDS LÄN</t>
        </is>
      </c>
      <c r="E1538" t="inlineStr">
        <is>
          <t>NORRKÖPING</t>
        </is>
      </c>
      <c r="G1538" t="n">
        <v>3.3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s="2" t="inlineStr"/>
    </row>
    <row r="1539" ht="15" customHeight="1">
      <c r="A1539" t="inlineStr">
        <is>
          <t>A 55294-2019</t>
        </is>
      </c>
      <c r="B1539" s="1" t="n">
        <v>43756</v>
      </c>
      <c r="C1539" s="1" t="n">
        <v>45211</v>
      </c>
      <c r="D1539" t="inlineStr">
        <is>
          <t>ÖSTERGÖTLANDS LÄN</t>
        </is>
      </c>
      <c r="E1539" t="inlineStr">
        <is>
          <t>KINDA</t>
        </is>
      </c>
      <c r="G1539" t="n">
        <v>2.2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s="2" t="inlineStr"/>
    </row>
    <row r="1540" ht="15" customHeight="1">
      <c r="A1540" t="inlineStr">
        <is>
          <t>A 55338-2019</t>
        </is>
      </c>
      <c r="B1540" s="1" t="n">
        <v>43756</v>
      </c>
      <c r="C1540" s="1" t="n">
        <v>45211</v>
      </c>
      <c r="D1540" t="inlineStr">
        <is>
          <t>ÖSTERGÖTLANDS LÄN</t>
        </is>
      </c>
      <c r="E1540" t="inlineStr">
        <is>
          <t>LINKÖPING</t>
        </is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s="2" t="inlineStr"/>
    </row>
    <row r="1541" ht="15" customHeight="1">
      <c r="A1541" t="inlineStr">
        <is>
          <t>A 55547-2019</t>
        </is>
      </c>
      <c r="B1541" s="1" t="n">
        <v>43757</v>
      </c>
      <c r="C1541" s="1" t="n">
        <v>45211</v>
      </c>
      <c r="D1541" t="inlineStr">
        <is>
          <t>ÖSTERGÖTLANDS LÄN</t>
        </is>
      </c>
      <c r="E1541" t="inlineStr">
        <is>
          <t>NORRKÖPING</t>
        </is>
      </c>
      <c r="G1541" t="n">
        <v>1.6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s="2" t="inlineStr"/>
    </row>
    <row r="1542" ht="15" customHeight="1">
      <c r="A1542" t="inlineStr">
        <is>
          <t>A 55752-2019</t>
        </is>
      </c>
      <c r="B1542" s="1" t="n">
        <v>43759</v>
      </c>
      <c r="C1542" s="1" t="n">
        <v>45211</v>
      </c>
      <c r="D1542" t="inlineStr">
        <is>
          <t>ÖSTERGÖTLANDS LÄN</t>
        </is>
      </c>
      <c r="E1542" t="inlineStr">
        <is>
          <t>BOXHOLM</t>
        </is>
      </c>
      <c r="G1542" t="n">
        <v>1.9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s="2" t="inlineStr"/>
    </row>
    <row r="1543" ht="15" customHeight="1">
      <c r="A1543" t="inlineStr">
        <is>
          <t>A 55858-2019</t>
        </is>
      </c>
      <c r="B1543" s="1" t="n">
        <v>43759</v>
      </c>
      <c r="C1543" s="1" t="n">
        <v>45211</v>
      </c>
      <c r="D1543" t="inlineStr">
        <is>
          <t>ÖSTERGÖTLANDS LÄN</t>
        </is>
      </c>
      <c r="E1543" t="inlineStr">
        <is>
          <t>LINKÖPING</t>
        </is>
      </c>
      <c r="F1543" t="inlineStr">
        <is>
          <t>Övriga Aktiebolag</t>
        </is>
      </c>
      <c r="G1543" t="n">
        <v>11.8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s="2" t="inlineStr"/>
    </row>
    <row r="1544" ht="15" customHeight="1">
      <c r="A1544" t="inlineStr">
        <is>
          <t>A 55985-2019</t>
        </is>
      </c>
      <c r="B1544" s="1" t="n">
        <v>43759</v>
      </c>
      <c r="C1544" s="1" t="n">
        <v>45211</v>
      </c>
      <c r="D1544" t="inlineStr">
        <is>
          <t>ÖSTERGÖTLANDS LÄN</t>
        </is>
      </c>
      <c r="E1544" t="inlineStr">
        <is>
          <t>LINKÖPING</t>
        </is>
      </c>
      <c r="F1544" t="inlineStr">
        <is>
          <t>Övriga Aktiebolag</t>
        </is>
      </c>
      <c r="G1544" t="n">
        <v>16.5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s="2" t="inlineStr"/>
    </row>
    <row r="1545" ht="15" customHeight="1">
      <c r="A1545" t="inlineStr">
        <is>
          <t>A 55511-2019</t>
        </is>
      </c>
      <c r="B1545" s="1" t="n">
        <v>43759</v>
      </c>
      <c r="C1545" s="1" t="n">
        <v>45211</v>
      </c>
      <c r="D1545" t="inlineStr">
        <is>
          <t>ÖSTERGÖTLANDS LÄN</t>
        </is>
      </c>
      <c r="E1545" t="inlineStr">
        <is>
          <t>NORRKÖPING</t>
        </is>
      </c>
      <c r="F1545" t="inlineStr">
        <is>
          <t>Holmen skog AB</t>
        </is>
      </c>
      <c r="G1545" t="n">
        <v>1.8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s="2" t="inlineStr"/>
    </row>
    <row r="1546" ht="15" customHeight="1">
      <c r="A1546" t="inlineStr">
        <is>
          <t>A 55825-2019</t>
        </is>
      </c>
      <c r="B1546" s="1" t="n">
        <v>43759</v>
      </c>
      <c r="C1546" s="1" t="n">
        <v>45211</v>
      </c>
      <c r="D1546" t="inlineStr">
        <is>
          <t>ÖSTERGÖTLANDS LÄN</t>
        </is>
      </c>
      <c r="E1546" t="inlineStr">
        <is>
          <t>BOXHOLM</t>
        </is>
      </c>
      <c r="F1546" t="inlineStr">
        <is>
          <t>Övriga Aktiebolag</t>
        </is>
      </c>
      <c r="G1546" t="n">
        <v>2.6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s="2" t="inlineStr"/>
    </row>
    <row r="1547" ht="15" customHeight="1">
      <c r="A1547" t="inlineStr">
        <is>
          <t>A 56102-2019</t>
        </is>
      </c>
      <c r="B1547" s="1" t="n">
        <v>43760</v>
      </c>
      <c r="C1547" s="1" t="n">
        <v>45211</v>
      </c>
      <c r="D1547" t="inlineStr">
        <is>
          <t>ÖSTERGÖTLANDS LÄN</t>
        </is>
      </c>
      <c r="E1547" t="inlineStr">
        <is>
          <t>ÅTVIDABERG</t>
        </is>
      </c>
      <c r="G1547" t="n">
        <v>0.6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s="2" t="inlineStr"/>
    </row>
    <row r="1548" ht="15" customHeight="1">
      <c r="A1548" t="inlineStr">
        <is>
          <t>A 55532-2019</t>
        </is>
      </c>
      <c r="B1548" s="1" t="n">
        <v>43760</v>
      </c>
      <c r="C1548" s="1" t="n">
        <v>45211</v>
      </c>
      <c r="D1548" t="inlineStr">
        <is>
          <t>ÖSTERGÖTLANDS LÄN</t>
        </is>
      </c>
      <c r="E1548" t="inlineStr">
        <is>
          <t>MOTALA</t>
        </is>
      </c>
      <c r="G1548" t="n">
        <v>5.3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s="2" t="inlineStr"/>
    </row>
    <row r="1549" ht="15" customHeight="1">
      <c r="A1549" t="inlineStr">
        <is>
          <t>A 55657-2019</t>
        </is>
      </c>
      <c r="B1549" s="1" t="n">
        <v>43760</v>
      </c>
      <c r="C1549" s="1" t="n">
        <v>45211</v>
      </c>
      <c r="D1549" t="inlineStr">
        <is>
          <t>ÖSTERGÖTLANDS LÄN</t>
        </is>
      </c>
      <c r="E1549" t="inlineStr">
        <is>
          <t>FINSPÅNG</t>
        </is>
      </c>
      <c r="G1549" t="n">
        <v>14.8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s="2" t="inlineStr"/>
    </row>
    <row r="1550" ht="15" customHeight="1">
      <c r="A1550" t="inlineStr">
        <is>
          <t>A 55938-2019</t>
        </is>
      </c>
      <c r="B1550" s="1" t="n">
        <v>43760</v>
      </c>
      <c r="C1550" s="1" t="n">
        <v>45211</v>
      </c>
      <c r="D1550" t="inlineStr">
        <is>
          <t>ÖSTERGÖTLANDS LÄN</t>
        </is>
      </c>
      <c r="E1550" t="inlineStr">
        <is>
          <t>SÖDERKÖPING</t>
        </is>
      </c>
      <c r="G1550" t="n">
        <v>1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s="2" t="inlineStr"/>
    </row>
    <row r="1551" ht="15" customHeight="1">
      <c r="A1551" t="inlineStr">
        <is>
          <t>A 55550-2019</t>
        </is>
      </c>
      <c r="B1551" s="1" t="n">
        <v>43760</v>
      </c>
      <c r="C1551" s="1" t="n">
        <v>45211</v>
      </c>
      <c r="D1551" t="inlineStr">
        <is>
          <t>ÖSTERGÖTLANDS LÄN</t>
        </is>
      </c>
      <c r="E1551" t="inlineStr">
        <is>
          <t>FINSPÅNG</t>
        </is>
      </c>
      <c r="F1551" t="inlineStr">
        <is>
          <t>Holmen skog AB</t>
        </is>
      </c>
      <c r="G1551" t="n">
        <v>0.5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s="2" t="inlineStr"/>
    </row>
    <row r="1552" ht="15" customHeight="1">
      <c r="A1552" t="inlineStr">
        <is>
          <t>A 55655-2019</t>
        </is>
      </c>
      <c r="B1552" s="1" t="n">
        <v>43760</v>
      </c>
      <c r="C1552" s="1" t="n">
        <v>45211</v>
      </c>
      <c r="D1552" t="inlineStr">
        <is>
          <t>ÖSTERGÖTLANDS LÄN</t>
        </is>
      </c>
      <c r="E1552" t="inlineStr">
        <is>
          <t>FINSPÅNG</t>
        </is>
      </c>
      <c r="G1552" t="n">
        <v>3.7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s="2" t="inlineStr"/>
    </row>
    <row r="1553" ht="15" customHeight="1">
      <c r="A1553" t="inlineStr">
        <is>
          <t>A 55923-2019</t>
        </is>
      </c>
      <c r="B1553" s="1" t="n">
        <v>43761</v>
      </c>
      <c r="C1553" s="1" t="n">
        <v>45211</v>
      </c>
      <c r="D1553" t="inlineStr">
        <is>
          <t>ÖSTERGÖTLANDS LÄN</t>
        </is>
      </c>
      <c r="E1553" t="inlineStr">
        <is>
          <t>LINKÖPING</t>
        </is>
      </c>
      <c r="F1553" t="inlineStr">
        <is>
          <t>Övriga Aktiebolag</t>
        </is>
      </c>
      <c r="G1553" t="n">
        <v>3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s="2" t="inlineStr"/>
    </row>
    <row r="1554" ht="15" customHeight="1">
      <c r="A1554" t="inlineStr">
        <is>
          <t>A 55928-2019</t>
        </is>
      </c>
      <c r="B1554" s="1" t="n">
        <v>43761</v>
      </c>
      <c r="C1554" s="1" t="n">
        <v>45211</v>
      </c>
      <c r="D1554" t="inlineStr">
        <is>
          <t>ÖSTERGÖTLANDS LÄN</t>
        </is>
      </c>
      <c r="E1554" t="inlineStr">
        <is>
          <t>LINKÖPING</t>
        </is>
      </c>
      <c r="F1554" t="inlineStr">
        <is>
          <t>Övriga Aktiebolag</t>
        </is>
      </c>
      <c r="G1554" t="n">
        <v>1.8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s="2" t="inlineStr"/>
    </row>
    <row r="1555" ht="15" customHeight="1">
      <c r="A1555" t="inlineStr">
        <is>
          <t>A 55917-2019</t>
        </is>
      </c>
      <c r="B1555" s="1" t="n">
        <v>43761</v>
      </c>
      <c r="C1555" s="1" t="n">
        <v>45211</v>
      </c>
      <c r="D1555" t="inlineStr">
        <is>
          <t>ÖSTERGÖTLANDS LÄN</t>
        </is>
      </c>
      <c r="E1555" t="inlineStr">
        <is>
          <t>LINKÖPING</t>
        </is>
      </c>
      <c r="F1555" t="inlineStr">
        <is>
          <t>Övriga Aktiebolag</t>
        </is>
      </c>
      <c r="G1555" t="n">
        <v>1.6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s="2" t="inlineStr"/>
    </row>
    <row r="1556" ht="15" customHeight="1">
      <c r="A1556" t="inlineStr">
        <is>
          <t>A 55835-2019</t>
        </is>
      </c>
      <c r="B1556" s="1" t="n">
        <v>43761</v>
      </c>
      <c r="C1556" s="1" t="n">
        <v>45211</v>
      </c>
      <c r="D1556" t="inlineStr">
        <is>
          <t>ÖSTERGÖTLANDS LÄN</t>
        </is>
      </c>
      <c r="E1556" t="inlineStr">
        <is>
          <t>MOTALA</t>
        </is>
      </c>
      <c r="G1556" t="n">
        <v>2.7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s="2" t="inlineStr"/>
    </row>
    <row r="1557" ht="15" customHeight="1">
      <c r="A1557" t="inlineStr">
        <is>
          <t>A 56069-2019</t>
        </is>
      </c>
      <c r="B1557" s="1" t="n">
        <v>43761</v>
      </c>
      <c r="C1557" s="1" t="n">
        <v>45211</v>
      </c>
      <c r="D1557" t="inlineStr">
        <is>
          <t>ÖSTERGÖTLANDS LÄN</t>
        </is>
      </c>
      <c r="E1557" t="inlineStr">
        <is>
          <t>BOXHOLM</t>
        </is>
      </c>
      <c r="F1557" t="inlineStr">
        <is>
          <t>Övriga Aktiebolag</t>
        </is>
      </c>
      <c r="G1557" t="n">
        <v>14.3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s="2" t="inlineStr"/>
    </row>
    <row r="1558" ht="15" customHeight="1">
      <c r="A1558" t="inlineStr">
        <is>
          <t>A 56089-2019</t>
        </is>
      </c>
      <c r="B1558" s="1" t="n">
        <v>43761</v>
      </c>
      <c r="C1558" s="1" t="n">
        <v>45211</v>
      </c>
      <c r="D1558" t="inlineStr">
        <is>
          <t>ÖSTERGÖTLANDS LÄN</t>
        </is>
      </c>
      <c r="E1558" t="inlineStr">
        <is>
          <t>YDRE</t>
        </is>
      </c>
      <c r="F1558" t="inlineStr">
        <is>
          <t>Övriga Aktiebolag</t>
        </is>
      </c>
      <c r="G1558" t="n">
        <v>7.7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s="2" t="inlineStr"/>
    </row>
    <row r="1559" ht="15" customHeight="1">
      <c r="A1559" t="inlineStr">
        <is>
          <t>A 56452-2019</t>
        </is>
      </c>
      <c r="B1559" s="1" t="n">
        <v>43762</v>
      </c>
      <c r="C1559" s="1" t="n">
        <v>45211</v>
      </c>
      <c r="D1559" t="inlineStr">
        <is>
          <t>ÖSTERGÖTLANDS LÄN</t>
        </is>
      </c>
      <c r="E1559" t="inlineStr">
        <is>
          <t>LINKÖPING</t>
        </is>
      </c>
      <c r="F1559" t="inlineStr">
        <is>
          <t>Övriga Aktiebolag</t>
        </is>
      </c>
      <c r="G1559" t="n">
        <v>2.9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s="2" t="inlineStr"/>
    </row>
    <row r="1560" ht="15" customHeight="1">
      <c r="A1560" t="inlineStr">
        <is>
          <t>A 56279-2019</t>
        </is>
      </c>
      <c r="B1560" s="1" t="n">
        <v>43762</v>
      </c>
      <c r="C1560" s="1" t="n">
        <v>45211</v>
      </c>
      <c r="D1560" t="inlineStr">
        <is>
          <t>ÖSTERGÖTLANDS LÄN</t>
        </is>
      </c>
      <c r="E1560" t="inlineStr">
        <is>
          <t>ÖDESHÖG</t>
        </is>
      </c>
      <c r="G1560" t="n">
        <v>0.6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s="2" t="inlineStr"/>
    </row>
    <row r="1561" ht="15" customHeight="1">
      <c r="A1561" t="inlineStr">
        <is>
          <t>A 56384-2019</t>
        </is>
      </c>
      <c r="B1561" s="1" t="n">
        <v>43762</v>
      </c>
      <c r="C1561" s="1" t="n">
        <v>45211</v>
      </c>
      <c r="D1561" t="inlineStr">
        <is>
          <t>ÖSTERGÖTLANDS LÄN</t>
        </is>
      </c>
      <c r="E1561" t="inlineStr">
        <is>
          <t>BOXHOLM</t>
        </is>
      </c>
      <c r="F1561" t="inlineStr">
        <is>
          <t>Övriga Aktiebolag</t>
        </is>
      </c>
      <c r="G1561" t="n">
        <v>5.1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s="2" t="inlineStr"/>
    </row>
    <row r="1562" ht="15" customHeight="1">
      <c r="A1562" t="inlineStr">
        <is>
          <t>A 56433-2019</t>
        </is>
      </c>
      <c r="B1562" s="1" t="n">
        <v>43762</v>
      </c>
      <c r="C1562" s="1" t="n">
        <v>45211</v>
      </c>
      <c r="D1562" t="inlineStr">
        <is>
          <t>ÖSTERGÖTLANDS LÄN</t>
        </is>
      </c>
      <c r="E1562" t="inlineStr">
        <is>
          <t>KINDA</t>
        </is>
      </c>
      <c r="G1562" t="n">
        <v>4.8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s="2" t="inlineStr"/>
    </row>
    <row r="1563" ht="15" customHeight="1">
      <c r="A1563" t="inlineStr">
        <is>
          <t>A 56432-2019</t>
        </is>
      </c>
      <c r="B1563" s="1" t="n">
        <v>43762</v>
      </c>
      <c r="C1563" s="1" t="n">
        <v>45211</v>
      </c>
      <c r="D1563" t="inlineStr">
        <is>
          <t>ÖSTERGÖTLANDS LÄN</t>
        </is>
      </c>
      <c r="E1563" t="inlineStr">
        <is>
          <t>KINDA</t>
        </is>
      </c>
      <c r="G1563" t="n">
        <v>0.6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s="2" t="inlineStr"/>
    </row>
    <row r="1564" ht="15" customHeight="1">
      <c r="A1564" t="inlineStr">
        <is>
          <t>A 56750-2019</t>
        </is>
      </c>
      <c r="B1564" s="1" t="n">
        <v>43763</v>
      </c>
      <c r="C1564" s="1" t="n">
        <v>45211</v>
      </c>
      <c r="D1564" t="inlineStr">
        <is>
          <t>ÖSTERGÖTLANDS LÄN</t>
        </is>
      </c>
      <c r="E1564" t="inlineStr">
        <is>
          <t>LINKÖPING</t>
        </is>
      </c>
      <c r="F1564" t="inlineStr">
        <is>
          <t>Övriga Aktiebolag</t>
        </is>
      </c>
      <c r="G1564" t="n">
        <v>12.1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s="2" t="inlineStr"/>
    </row>
    <row r="1565" ht="15" customHeight="1">
      <c r="A1565" t="inlineStr">
        <is>
          <t>A 56643-2019</t>
        </is>
      </c>
      <c r="B1565" s="1" t="n">
        <v>43763</v>
      </c>
      <c r="C1565" s="1" t="n">
        <v>45211</v>
      </c>
      <c r="D1565" t="inlineStr">
        <is>
          <t>ÖSTERGÖTLANDS LÄN</t>
        </is>
      </c>
      <c r="E1565" t="inlineStr">
        <is>
          <t>FINSPÅNG</t>
        </is>
      </c>
      <c r="G1565" t="n">
        <v>2.5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s="2" t="inlineStr"/>
    </row>
    <row r="1566" ht="15" customHeight="1">
      <c r="A1566" t="inlineStr">
        <is>
          <t>A 56778-2019</t>
        </is>
      </c>
      <c r="B1566" s="1" t="n">
        <v>43763</v>
      </c>
      <c r="C1566" s="1" t="n">
        <v>45211</v>
      </c>
      <c r="D1566" t="inlineStr">
        <is>
          <t>ÖSTERGÖTLANDS LÄN</t>
        </is>
      </c>
      <c r="E1566" t="inlineStr">
        <is>
          <t>LINKÖPING</t>
        </is>
      </c>
      <c r="G1566" t="n">
        <v>1.5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s="2" t="inlineStr"/>
    </row>
    <row r="1567" ht="15" customHeight="1">
      <c r="A1567" t="inlineStr">
        <is>
          <t>A 56929-2019</t>
        </is>
      </c>
      <c r="B1567" s="1" t="n">
        <v>43763</v>
      </c>
      <c r="C1567" s="1" t="n">
        <v>45211</v>
      </c>
      <c r="D1567" t="inlineStr">
        <is>
          <t>ÖSTERGÖTLANDS LÄN</t>
        </is>
      </c>
      <c r="E1567" t="inlineStr">
        <is>
          <t>MOTALA</t>
        </is>
      </c>
      <c r="G1567" t="n">
        <v>23.5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s="2" t="inlineStr"/>
    </row>
    <row r="1568" ht="15" customHeight="1">
      <c r="A1568" t="inlineStr">
        <is>
          <t>A 56735-2019</t>
        </is>
      </c>
      <c r="B1568" s="1" t="n">
        <v>43763</v>
      </c>
      <c r="C1568" s="1" t="n">
        <v>45211</v>
      </c>
      <c r="D1568" t="inlineStr">
        <is>
          <t>ÖSTERGÖTLANDS LÄN</t>
        </is>
      </c>
      <c r="E1568" t="inlineStr">
        <is>
          <t>LINKÖPING</t>
        </is>
      </c>
      <c r="F1568" t="inlineStr">
        <is>
          <t>Övriga Aktiebolag</t>
        </is>
      </c>
      <c r="G1568" t="n">
        <v>2.4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s="2" t="inlineStr"/>
    </row>
    <row r="1569" ht="15" customHeight="1">
      <c r="A1569" t="inlineStr">
        <is>
          <t>A 56933-2019</t>
        </is>
      </c>
      <c r="B1569" s="1" t="n">
        <v>43763</v>
      </c>
      <c r="C1569" s="1" t="n">
        <v>45211</v>
      </c>
      <c r="D1569" t="inlineStr">
        <is>
          <t>ÖSTERGÖTLANDS LÄN</t>
        </is>
      </c>
      <c r="E1569" t="inlineStr">
        <is>
          <t>MJÖLBY</t>
        </is>
      </c>
      <c r="G1569" t="n">
        <v>4.8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s="2" t="inlineStr"/>
    </row>
    <row r="1570" ht="15" customHeight="1">
      <c r="A1570" t="inlineStr">
        <is>
          <t>A 56848-2019</t>
        </is>
      </c>
      <c r="B1570" s="1" t="n">
        <v>43765</v>
      </c>
      <c r="C1570" s="1" t="n">
        <v>45211</v>
      </c>
      <c r="D1570" t="inlineStr">
        <is>
          <t>ÖSTERGÖTLANDS LÄN</t>
        </is>
      </c>
      <c r="E1570" t="inlineStr">
        <is>
          <t>KINDA</t>
        </is>
      </c>
      <c r="G1570" t="n">
        <v>2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s="2" t="inlineStr"/>
    </row>
    <row r="1571" ht="15" customHeight="1">
      <c r="A1571" t="inlineStr">
        <is>
          <t>A 56968-2019</t>
        </is>
      </c>
      <c r="B1571" s="1" t="n">
        <v>43766</v>
      </c>
      <c r="C1571" s="1" t="n">
        <v>45211</v>
      </c>
      <c r="D1571" t="inlineStr">
        <is>
          <t>ÖSTERGÖTLANDS LÄN</t>
        </is>
      </c>
      <c r="E1571" t="inlineStr">
        <is>
          <t>VALDEMARSVIK</t>
        </is>
      </c>
      <c r="G1571" t="n">
        <v>0.6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s="2" t="inlineStr"/>
    </row>
    <row r="1572" ht="15" customHeight="1">
      <c r="A1572" t="inlineStr">
        <is>
          <t>A 56995-2019</t>
        </is>
      </c>
      <c r="B1572" s="1" t="n">
        <v>43766</v>
      </c>
      <c r="C1572" s="1" t="n">
        <v>45211</v>
      </c>
      <c r="D1572" t="inlineStr">
        <is>
          <t>ÖSTERGÖTLANDS LÄN</t>
        </is>
      </c>
      <c r="E1572" t="inlineStr">
        <is>
          <t>NORRKÖPING</t>
        </is>
      </c>
      <c r="G1572" t="n">
        <v>0.8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s="2" t="inlineStr"/>
    </row>
    <row r="1573" ht="15" customHeight="1">
      <c r="A1573" t="inlineStr">
        <is>
          <t>A 56881-2019</t>
        </is>
      </c>
      <c r="B1573" s="1" t="n">
        <v>43766</v>
      </c>
      <c r="C1573" s="1" t="n">
        <v>45211</v>
      </c>
      <c r="D1573" t="inlineStr">
        <is>
          <t>ÖSTERGÖTLANDS LÄN</t>
        </is>
      </c>
      <c r="E1573" t="inlineStr">
        <is>
          <t>LINKÖPING</t>
        </is>
      </c>
      <c r="F1573" t="inlineStr">
        <is>
          <t>Övriga Aktiebolag</t>
        </is>
      </c>
      <c r="G1573" t="n">
        <v>4.6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s="2" t="inlineStr"/>
    </row>
    <row r="1574" ht="15" customHeight="1">
      <c r="A1574" t="inlineStr">
        <is>
          <t>A 56891-2019</t>
        </is>
      </c>
      <c r="B1574" s="1" t="n">
        <v>43766</v>
      </c>
      <c r="C1574" s="1" t="n">
        <v>45211</v>
      </c>
      <c r="D1574" t="inlineStr">
        <is>
          <t>ÖSTERGÖTLANDS LÄN</t>
        </is>
      </c>
      <c r="E1574" t="inlineStr">
        <is>
          <t>LINKÖPING</t>
        </is>
      </c>
      <c r="F1574" t="inlineStr">
        <is>
          <t>Övriga Aktiebolag</t>
        </is>
      </c>
      <c r="G1574" t="n">
        <v>1.4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s="2" t="inlineStr"/>
    </row>
    <row r="1575" ht="15" customHeight="1">
      <c r="A1575" t="inlineStr">
        <is>
          <t>A 56977-2019</t>
        </is>
      </c>
      <c r="B1575" s="1" t="n">
        <v>43766</v>
      </c>
      <c r="C1575" s="1" t="n">
        <v>45211</v>
      </c>
      <c r="D1575" t="inlineStr">
        <is>
          <t>ÖSTERGÖTLANDS LÄN</t>
        </is>
      </c>
      <c r="E1575" t="inlineStr">
        <is>
          <t>VALDEMARSVIK</t>
        </is>
      </c>
      <c r="G1575" t="n">
        <v>3.4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s="2" t="inlineStr"/>
    </row>
    <row r="1576" ht="15" customHeight="1">
      <c r="A1576" t="inlineStr">
        <is>
          <t>A 57000-2019</t>
        </is>
      </c>
      <c r="B1576" s="1" t="n">
        <v>43766</v>
      </c>
      <c r="C1576" s="1" t="n">
        <v>45211</v>
      </c>
      <c r="D1576" t="inlineStr">
        <is>
          <t>ÖSTERGÖTLANDS LÄN</t>
        </is>
      </c>
      <c r="E1576" t="inlineStr">
        <is>
          <t>NORRKÖPING</t>
        </is>
      </c>
      <c r="G1576" t="n">
        <v>0.8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s="2" t="inlineStr"/>
    </row>
    <row r="1577" ht="15" customHeight="1">
      <c r="A1577" t="inlineStr">
        <is>
          <t>A 57021-2019</t>
        </is>
      </c>
      <c r="B1577" s="1" t="n">
        <v>43766</v>
      </c>
      <c r="C1577" s="1" t="n">
        <v>45211</v>
      </c>
      <c r="D1577" t="inlineStr">
        <is>
          <t>ÖSTERGÖTLANDS LÄN</t>
        </is>
      </c>
      <c r="E1577" t="inlineStr">
        <is>
          <t>MJÖLBY</t>
        </is>
      </c>
      <c r="G1577" t="n">
        <v>1.7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s="2" t="inlineStr"/>
    </row>
    <row r="1578" ht="15" customHeight="1">
      <c r="A1578" t="inlineStr">
        <is>
          <t>A 57157-2019</t>
        </is>
      </c>
      <c r="B1578" s="1" t="n">
        <v>43766</v>
      </c>
      <c r="C1578" s="1" t="n">
        <v>45211</v>
      </c>
      <c r="D1578" t="inlineStr">
        <is>
          <t>ÖSTERGÖTLANDS LÄN</t>
        </is>
      </c>
      <c r="E1578" t="inlineStr">
        <is>
          <t>KINDA</t>
        </is>
      </c>
      <c r="G1578" t="n">
        <v>0.9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s="2" t="inlineStr"/>
    </row>
    <row r="1579" ht="15" customHeight="1">
      <c r="A1579" t="inlineStr">
        <is>
          <t>A 57376-2019</t>
        </is>
      </c>
      <c r="B1579" s="1" t="n">
        <v>43767</v>
      </c>
      <c r="C1579" s="1" t="n">
        <v>45211</v>
      </c>
      <c r="D1579" t="inlineStr">
        <is>
          <t>ÖSTERGÖTLANDS LÄN</t>
        </is>
      </c>
      <c r="E1579" t="inlineStr">
        <is>
          <t>KINDA</t>
        </is>
      </c>
      <c r="G1579" t="n">
        <v>0.7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s="2" t="inlineStr"/>
    </row>
    <row r="1580" ht="15" customHeight="1">
      <c r="A1580" t="inlineStr">
        <is>
          <t>A 57488-2019</t>
        </is>
      </c>
      <c r="B1580" s="1" t="n">
        <v>43767</v>
      </c>
      <c r="C1580" s="1" t="n">
        <v>45211</v>
      </c>
      <c r="D1580" t="inlineStr">
        <is>
          <t>ÖSTERGÖTLANDS LÄN</t>
        </is>
      </c>
      <c r="E1580" t="inlineStr">
        <is>
          <t>LINKÖPING</t>
        </is>
      </c>
      <c r="F1580" t="inlineStr">
        <is>
          <t>Allmännings- och besparingsskogar</t>
        </is>
      </c>
      <c r="G1580" t="n">
        <v>1.1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s="2" t="inlineStr"/>
    </row>
    <row r="1581" ht="15" customHeight="1">
      <c r="A1581" t="inlineStr">
        <is>
          <t>A 57498-2019</t>
        </is>
      </c>
      <c r="B1581" s="1" t="n">
        <v>43767</v>
      </c>
      <c r="C1581" s="1" t="n">
        <v>45211</v>
      </c>
      <c r="D1581" t="inlineStr">
        <is>
          <t>ÖSTERGÖTLANDS LÄN</t>
        </is>
      </c>
      <c r="E1581" t="inlineStr">
        <is>
          <t>LINKÖPING</t>
        </is>
      </c>
      <c r="F1581" t="inlineStr">
        <is>
          <t>Allmännings- och besparingsskogar</t>
        </is>
      </c>
      <c r="G1581" t="n">
        <v>2.8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s="2" t="inlineStr"/>
    </row>
    <row r="1582" ht="15" customHeight="1">
      <c r="A1582" t="inlineStr">
        <is>
          <t>A 57504-2019</t>
        </is>
      </c>
      <c r="B1582" s="1" t="n">
        <v>43767</v>
      </c>
      <c r="C1582" s="1" t="n">
        <v>45211</v>
      </c>
      <c r="D1582" t="inlineStr">
        <is>
          <t>ÖSTERGÖTLANDS LÄN</t>
        </is>
      </c>
      <c r="E1582" t="inlineStr">
        <is>
          <t>LINKÖPING</t>
        </is>
      </c>
      <c r="F1582" t="inlineStr">
        <is>
          <t>Allmännings- och besparingsskogar</t>
        </is>
      </c>
      <c r="G1582" t="n">
        <v>1.9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s="2" t="inlineStr"/>
    </row>
    <row r="1583" ht="15" customHeight="1">
      <c r="A1583" t="inlineStr">
        <is>
          <t>A 57263-2019</t>
        </is>
      </c>
      <c r="B1583" s="1" t="n">
        <v>43767</v>
      </c>
      <c r="C1583" s="1" t="n">
        <v>45211</v>
      </c>
      <c r="D1583" t="inlineStr">
        <is>
          <t>ÖSTERGÖTLANDS LÄN</t>
        </is>
      </c>
      <c r="E1583" t="inlineStr">
        <is>
          <t>NORRKÖPING</t>
        </is>
      </c>
      <c r="G1583" t="n">
        <v>4.8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s="2" t="inlineStr"/>
    </row>
    <row r="1584" ht="15" customHeight="1">
      <c r="A1584" t="inlineStr">
        <is>
          <t>A 57311-2019</t>
        </is>
      </c>
      <c r="B1584" s="1" t="n">
        <v>43767</v>
      </c>
      <c r="C1584" s="1" t="n">
        <v>45211</v>
      </c>
      <c r="D1584" t="inlineStr">
        <is>
          <t>ÖSTERGÖTLANDS LÄN</t>
        </is>
      </c>
      <c r="E1584" t="inlineStr">
        <is>
          <t>FINSPÅNG</t>
        </is>
      </c>
      <c r="F1584" t="inlineStr">
        <is>
          <t>Holmen skog AB</t>
        </is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s="2" t="inlineStr"/>
    </row>
    <row r="1585" ht="15" customHeight="1">
      <c r="A1585" t="inlineStr">
        <is>
          <t>A 57428-2019</t>
        </is>
      </c>
      <c r="B1585" s="1" t="n">
        <v>43767</v>
      </c>
      <c r="C1585" s="1" t="n">
        <v>45211</v>
      </c>
      <c r="D1585" t="inlineStr">
        <is>
          <t>ÖSTERGÖTLANDS LÄN</t>
        </is>
      </c>
      <c r="E1585" t="inlineStr">
        <is>
          <t>MOTALA</t>
        </is>
      </c>
      <c r="F1585" t="inlineStr">
        <is>
          <t>Sveaskog</t>
        </is>
      </c>
      <c r="G1585" t="n">
        <v>2.2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s="2" t="inlineStr"/>
    </row>
    <row r="1586" ht="15" customHeight="1">
      <c r="A1586" t="inlineStr">
        <is>
          <t>A 57500-2019</t>
        </is>
      </c>
      <c r="B1586" s="1" t="n">
        <v>43767</v>
      </c>
      <c r="C1586" s="1" t="n">
        <v>45211</v>
      </c>
      <c r="D1586" t="inlineStr">
        <is>
          <t>ÖSTERGÖTLANDS LÄN</t>
        </is>
      </c>
      <c r="E1586" t="inlineStr">
        <is>
          <t>LINKÖPING</t>
        </is>
      </c>
      <c r="F1586" t="inlineStr">
        <is>
          <t>Allmännings- och besparingsskogar</t>
        </is>
      </c>
      <c r="G1586" t="n">
        <v>0.8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s="2" t="inlineStr"/>
    </row>
    <row r="1587" ht="15" customHeight="1">
      <c r="A1587" t="inlineStr">
        <is>
          <t>A 57508-2019</t>
        </is>
      </c>
      <c r="B1587" s="1" t="n">
        <v>43767</v>
      </c>
      <c r="C1587" s="1" t="n">
        <v>45211</v>
      </c>
      <c r="D1587" t="inlineStr">
        <is>
          <t>ÖSTERGÖTLANDS LÄN</t>
        </is>
      </c>
      <c r="E1587" t="inlineStr">
        <is>
          <t>SÖDERKÖPING</t>
        </is>
      </c>
      <c r="F1587" t="inlineStr">
        <is>
          <t>Allmännings- och besparingsskogar</t>
        </is>
      </c>
      <c r="G1587" t="n">
        <v>4.7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s="2" t="inlineStr"/>
    </row>
    <row r="1588" ht="15" customHeight="1">
      <c r="A1588" t="inlineStr">
        <is>
          <t>A 57323-2019</t>
        </is>
      </c>
      <c r="B1588" s="1" t="n">
        <v>43767</v>
      </c>
      <c r="C1588" s="1" t="n">
        <v>45211</v>
      </c>
      <c r="D1588" t="inlineStr">
        <is>
          <t>ÖSTERGÖTLANDS LÄN</t>
        </is>
      </c>
      <c r="E1588" t="inlineStr">
        <is>
          <t>KINDA</t>
        </is>
      </c>
      <c r="G1588" t="n">
        <v>0.4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s="2" t="inlineStr"/>
    </row>
    <row r="1589" ht="15" customHeight="1">
      <c r="A1589" t="inlineStr">
        <is>
          <t>A 57381-2019</t>
        </is>
      </c>
      <c r="B1589" s="1" t="n">
        <v>43767</v>
      </c>
      <c r="C1589" s="1" t="n">
        <v>45211</v>
      </c>
      <c r="D1589" t="inlineStr">
        <is>
          <t>ÖSTERGÖTLANDS LÄN</t>
        </is>
      </c>
      <c r="E1589" t="inlineStr">
        <is>
          <t>LINKÖPING</t>
        </is>
      </c>
      <c r="F1589" t="inlineStr">
        <is>
          <t>Övriga Aktiebolag</t>
        </is>
      </c>
      <c r="G1589" t="n">
        <v>1.1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s="2" t="inlineStr"/>
    </row>
    <row r="1590" ht="15" customHeight="1">
      <c r="A1590" t="inlineStr">
        <is>
          <t>A 57496-2019</t>
        </is>
      </c>
      <c r="B1590" s="1" t="n">
        <v>43767</v>
      </c>
      <c r="C1590" s="1" t="n">
        <v>45211</v>
      </c>
      <c r="D1590" t="inlineStr">
        <is>
          <t>ÖSTERGÖTLANDS LÄN</t>
        </is>
      </c>
      <c r="E1590" t="inlineStr">
        <is>
          <t>NORRKÖPING</t>
        </is>
      </c>
      <c r="F1590" t="inlineStr">
        <is>
          <t>Allmännings- och besparingsskogar</t>
        </is>
      </c>
      <c r="G1590" t="n">
        <v>3.7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s="2" t="inlineStr"/>
    </row>
    <row r="1591" ht="15" customHeight="1">
      <c r="A1591" t="inlineStr">
        <is>
          <t>A 57502-2019</t>
        </is>
      </c>
      <c r="B1591" s="1" t="n">
        <v>43767</v>
      </c>
      <c r="C1591" s="1" t="n">
        <v>45211</v>
      </c>
      <c r="D1591" t="inlineStr">
        <is>
          <t>ÖSTERGÖTLANDS LÄN</t>
        </is>
      </c>
      <c r="E1591" t="inlineStr">
        <is>
          <t>LINKÖPING</t>
        </is>
      </c>
      <c r="F1591" t="inlineStr">
        <is>
          <t>Allmännings- och besparingsskogar</t>
        </is>
      </c>
      <c r="G1591" t="n">
        <v>2.6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s="2" t="inlineStr"/>
    </row>
    <row r="1592" ht="15" customHeight="1">
      <c r="A1592" t="inlineStr">
        <is>
          <t>A 54796-2019</t>
        </is>
      </c>
      <c r="B1592" s="1" t="n">
        <v>43767</v>
      </c>
      <c r="C1592" s="1" t="n">
        <v>45211</v>
      </c>
      <c r="D1592" t="inlineStr">
        <is>
          <t>ÖSTERGÖTLANDS LÄN</t>
        </is>
      </c>
      <c r="E1592" t="inlineStr">
        <is>
          <t>KINDA</t>
        </is>
      </c>
      <c r="G1592" t="n">
        <v>0.9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s="2" t="inlineStr"/>
    </row>
    <row r="1593" ht="15" customHeight="1">
      <c r="A1593" t="inlineStr">
        <is>
          <t>A 57371-2019</t>
        </is>
      </c>
      <c r="B1593" s="1" t="n">
        <v>43767</v>
      </c>
      <c r="C1593" s="1" t="n">
        <v>45211</v>
      </c>
      <c r="D1593" t="inlineStr">
        <is>
          <t>ÖSTERGÖTLANDS LÄN</t>
        </is>
      </c>
      <c r="E1593" t="inlineStr">
        <is>
          <t>KINDA</t>
        </is>
      </c>
      <c r="G1593" t="n">
        <v>2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s="2" t="inlineStr"/>
    </row>
    <row r="1594" ht="15" customHeight="1">
      <c r="A1594" t="inlineStr">
        <is>
          <t>A 57485-2019</t>
        </is>
      </c>
      <c r="B1594" s="1" t="n">
        <v>43767</v>
      </c>
      <c r="C1594" s="1" t="n">
        <v>45211</v>
      </c>
      <c r="D1594" t="inlineStr">
        <is>
          <t>ÖSTERGÖTLANDS LÄN</t>
        </is>
      </c>
      <c r="E1594" t="inlineStr">
        <is>
          <t>LINKÖPING</t>
        </is>
      </c>
      <c r="F1594" t="inlineStr">
        <is>
          <t>Allmännings- och besparingsskogar</t>
        </is>
      </c>
      <c r="G1594" t="n">
        <v>1.3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s="2" t="inlineStr"/>
    </row>
    <row r="1595" ht="15" customHeight="1">
      <c r="A1595" t="inlineStr">
        <is>
          <t>A 57501-2019</t>
        </is>
      </c>
      <c r="B1595" s="1" t="n">
        <v>43767</v>
      </c>
      <c r="C1595" s="1" t="n">
        <v>45211</v>
      </c>
      <c r="D1595" t="inlineStr">
        <is>
          <t>ÖSTERGÖTLANDS LÄN</t>
        </is>
      </c>
      <c r="E1595" t="inlineStr">
        <is>
          <t>LINKÖPING</t>
        </is>
      </c>
      <c r="F1595" t="inlineStr">
        <is>
          <t>Allmännings- och besparingsskogar</t>
        </is>
      </c>
      <c r="G1595" t="n">
        <v>2.7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s="2" t="inlineStr"/>
    </row>
    <row r="1596" ht="15" customHeight="1">
      <c r="A1596" t="inlineStr">
        <is>
          <t>A 57660-2019</t>
        </is>
      </c>
      <c r="B1596" s="1" t="n">
        <v>43768</v>
      </c>
      <c r="C1596" s="1" t="n">
        <v>45211</v>
      </c>
      <c r="D1596" t="inlineStr">
        <is>
          <t>ÖSTERGÖTLANDS LÄN</t>
        </is>
      </c>
      <c r="E1596" t="inlineStr">
        <is>
          <t>ÅTVIDABERG</t>
        </is>
      </c>
      <c r="G1596" t="n">
        <v>2.1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s="2" t="inlineStr"/>
    </row>
    <row r="1597" ht="15" customHeight="1">
      <c r="A1597" t="inlineStr">
        <is>
          <t>A 57854-2019</t>
        </is>
      </c>
      <c r="B1597" s="1" t="n">
        <v>43768</v>
      </c>
      <c r="C1597" s="1" t="n">
        <v>45211</v>
      </c>
      <c r="D1597" t="inlineStr">
        <is>
          <t>ÖSTERGÖTLANDS LÄN</t>
        </is>
      </c>
      <c r="E1597" t="inlineStr">
        <is>
          <t>FINSPÅNG</t>
        </is>
      </c>
      <c r="G1597" t="n">
        <v>2.1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s="2" t="inlineStr"/>
    </row>
    <row r="1598" ht="15" customHeight="1">
      <c r="A1598" t="inlineStr">
        <is>
          <t>A 58634-2019</t>
        </is>
      </c>
      <c r="B1598" s="1" t="n">
        <v>43768</v>
      </c>
      <c r="C1598" s="1" t="n">
        <v>45211</v>
      </c>
      <c r="D1598" t="inlineStr">
        <is>
          <t>ÖSTERGÖTLANDS LÄN</t>
        </is>
      </c>
      <c r="E1598" t="inlineStr">
        <is>
          <t>ÅTVIDABERG</t>
        </is>
      </c>
      <c r="G1598" t="n">
        <v>6.3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s="2" t="inlineStr"/>
    </row>
    <row r="1599" ht="15" customHeight="1">
      <c r="A1599" t="inlineStr">
        <is>
          <t>A 57636-2019</t>
        </is>
      </c>
      <c r="B1599" s="1" t="n">
        <v>43768</v>
      </c>
      <c r="C1599" s="1" t="n">
        <v>45211</v>
      </c>
      <c r="D1599" t="inlineStr">
        <is>
          <t>ÖSTERGÖTLANDS LÄN</t>
        </is>
      </c>
      <c r="E1599" t="inlineStr">
        <is>
          <t>YDRE</t>
        </is>
      </c>
      <c r="G1599" t="n">
        <v>1.8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s="2" t="inlineStr"/>
    </row>
    <row r="1600" ht="15" customHeight="1">
      <c r="A1600" t="inlineStr">
        <is>
          <t>A 58077-2019</t>
        </is>
      </c>
      <c r="B1600" s="1" t="n">
        <v>43769</v>
      </c>
      <c r="C1600" s="1" t="n">
        <v>45211</v>
      </c>
      <c r="D1600" t="inlineStr">
        <is>
          <t>ÖSTERGÖTLANDS LÄN</t>
        </is>
      </c>
      <c r="E1600" t="inlineStr">
        <is>
          <t>YDRE</t>
        </is>
      </c>
      <c r="G1600" t="n">
        <v>1.1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s="2" t="inlineStr"/>
    </row>
    <row r="1601" ht="15" customHeight="1">
      <c r="A1601" t="inlineStr">
        <is>
          <t>A 58229-2019</t>
        </is>
      </c>
      <c r="B1601" s="1" t="n">
        <v>43770</v>
      </c>
      <c r="C1601" s="1" t="n">
        <v>45211</v>
      </c>
      <c r="D1601" t="inlineStr">
        <is>
          <t>ÖSTERGÖTLANDS LÄN</t>
        </is>
      </c>
      <c r="E1601" t="inlineStr">
        <is>
          <t>MJÖLBY</t>
        </is>
      </c>
      <c r="G1601" t="n">
        <v>0.5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s="2" t="inlineStr"/>
    </row>
    <row r="1602" ht="15" customHeight="1">
      <c r="A1602" t="inlineStr">
        <is>
          <t>A 58395-2019</t>
        </is>
      </c>
      <c r="B1602" s="1" t="n">
        <v>43772</v>
      </c>
      <c r="C1602" s="1" t="n">
        <v>45211</v>
      </c>
      <c r="D1602" t="inlineStr">
        <is>
          <t>ÖSTERGÖTLANDS LÄN</t>
        </is>
      </c>
      <c r="E1602" t="inlineStr">
        <is>
          <t>LINKÖPING</t>
        </is>
      </c>
      <c r="F1602" t="inlineStr">
        <is>
          <t>Övriga statliga verk och myndigheter</t>
        </is>
      </c>
      <c r="G1602" t="n">
        <v>1.7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s="2" t="inlineStr"/>
    </row>
    <row r="1603" ht="15" customHeight="1">
      <c r="A1603" t="inlineStr">
        <is>
          <t>A 58487-2019</t>
        </is>
      </c>
      <c r="B1603" s="1" t="n">
        <v>43773</v>
      </c>
      <c r="C1603" s="1" t="n">
        <v>45211</v>
      </c>
      <c r="D1603" t="inlineStr">
        <is>
          <t>ÖSTERGÖTLANDS LÄN</t>
        </is>
      </c>
      <c r="E1603" t="inlineStr">
        <is>
          <t>MJÖLBY</t>
        </is>
      </c>
      <c r="G1603" t="n">
        <v>2.9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s="2" t="inlineStr"/>
    </row>
    <row r="1604" ht="15" customHeight="1">
      <c r="A1604" t="inlineStr">
        <is>
          <t>A 58505-2019</t>
        </is>
      </c>
      <c r="B1604" s="1" t="n">
        <v>43773</v>
      </c>
      <c r="C1604" s="1" t="n">
        <v>45211</v>
      </c>
      <c r="D1604" t="inlineStr">
        <is>
          <t>ÖSTERGÖTLANDS LÄN</t>
        </is>
      </c>
      <c r="E1604" t="inlineStr">
        <is>
          <t>YDRE</t>
        </is>
      </c>
      <c r="G1604" t="n">
        <v>2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s="2" t="inlineStr"/>
    </row>
    <row r="1605" ht="15" customHeight="1">
      <c r="A1605" t="inlineStr">
        <is>
          <t>A 58684-2019</t>
        </is>
      </c>
      <c r="B1605" s="1" t="n">
        <v>43773</v>
      </c>
      <c r="C1605" s="1" t="n">
        <v>45211</v>
      </c>
      <c r="D1605" t="inlineStr">
        <is>
          <t>ÖSTERGÖTLANDS LÄN</t>
        </is>
      </c>
      <c r="E1605" t="inlineStr">
        <is>
          <t>BOXHOLM</t>
        </is>
      </c>
      <c r="F1605" t="inlineStr">
        <is>
          <t>Övriga Aktiebolag</t>
        </is>
      </c>
      <c r="G1605" t="n">
        <v>1.2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s="2" t="inlineStr"/>
    </row>
    <row r="1606" ht="15" customHeight="1">
      <c r="A1606" t="inlineStr">
        <is>
          <t>A 58752-2019</t>
        </is>
      </c>
      <c r="B1606" s="1" t="n">
        <v>43773</v>
      </c>
      <c r="C1606" s="1" t="n">
        <v>45211</v>
      </c>
      <c r="D1606" t="inlineStr">
        <is>
          <t>ÖSTERGÖTLANDS LÄN</t>
        </is>
      </c>
      <c r="E1606" t="inlineStr">
        <is>
          <t>BOXHOLM</t>
        </is>
      </c>
      <c r="G1606" t="n">
        <v>9.300000000000001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s="2" t="inlineStr"/>
    </row>
    <row r="1607" ht="15" customHeight="1">
      <c r="A1607" t="inlineStr">
        <is>
          <t>A 58672-2019</t>
        </is>
      </c>
      <c r="B1607" s="1" t="n">
        <v>43773</v>
      </c>
      <c r="C1607" s="1" t="n">
        <v>45211</v>
      </c>
      <c r="D1607" t="inlineStr">
        <is>
          <t>ÖSTERGÖTLANDS LÄN</t>
        </is>
      </c>
      <c r="E1607" t="inlineStr">
        <is>
          <t>YDRE</t>
        </is>
      </c>
      <c r="G1607" t="n">
        <v>1.1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s="2" t="inlineStr"/>
    </row>
    <row r="1608" ht="15" customHeight="1">
      <c r="A1608" t="inlineStr">
        <is>
          <t>A 58533-2019</t>
        </is>
      </c>
      <c r="B1608" s="1" t="n">
        <v>43773</v>
      </c>
      <c r="C1608" s="1" t="n">
        <v>45211</v>
      </c>
      <c r="D1608" t="inlineStr">
        <is>
          <t>ÖSTERGÖTLANDS LÄN</t>
        </is>
      </c>
      <c r="E1608" t="inlineStr">
        <is>
          <t>KINDA</t>
        </is>
      </c>
      <c r="F1608" t="inlineStr">
        <is>
          <t>Kyrkan</t>
        </is>
      </c>
      <c r="G1608" t="n">
        <v>3.7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s="2" t="inlineStr"/>
    </row>
    <row r="1609" ht="15" customHeight="1">
      <c r="A1609" t="inlineStr">
        <is>
          <t>A 58564-2019</t>
        </is>
      </c>
      <c r="B1609" s="1" t="n">
        <v>43773</v>
      </c>
      <c r="C1609" s="1" t="n">
        <v>45211</v>
      </c>
      <c r="D1609" t="inlineStr">
        <is>
          <t>ÖSTERGÖTLANDS LÄN</t>
        </is>
      </c>
      <c r="E1609" t="inlineStr">
        <is>
          <t>KINDA</t>
        </is>
      </c>
      <c r="G1609" t="n">
        <v>0.9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s="2" t="inlineStr"/>
    </row>
    <row r="1610" ht="15" customHeight="1">
      <c r="A1610" t="inlineStr">
        <is>
          <t>A 58687-2019</t>
        </is>
      </c>
      <c r="B1610" s="1" t="n">
        <v>43773</v>
      </c>
      <c r="C1610" s="1" t="n">
        <v>45211</v>
      </c>
      <c r="D1610" t="inlineStr">
        <is>
          <t>ÖSTERGÖTLANDS LÄN</t>
        </is>
      </c>
      <c r="E1610" t="inlineStr">
        <is>
          <t>YDRE</t>
        </is>
      </c>
      <c r="G1610" t="n">
        <v>2.3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s="2" t="inlineStr"/>
    </row>
    <row r="1611" ht="15" customHeight="1">
      <c r="A1611" t="inlineStr">
        <is>
          <t>A 58694-2019</t>
        </is>
      </c>
      <c r="B1611" s="1" t="n">
        <v>43773</v>
      </c>
      <c r="C1611" s="1" t="n">
        <v>45211</v>
      </c>
      <c r="D1611" t="inlineStr">
        <is>
          <t>ÖSTERGÖTLANDS LÄN</t>
        </is>
      </c>
      <c r="E1611" t="inlineStr">
        <is>
          <t>YDRE</t>
        </is>
      </c>
      <c r="G1611" t="n">
        <v>0.4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s="2" t="inlineStr"/>
    </row>
    <row r="1612" ht="15" customHeight="1">
      <c r="A1612" t="inlineStr">
        <is>
          <t>A 59518-2019</t>
        </is>
      </c>
      <c r="B1612" s="1" t="n">
        <v>43773</v>
      </c>
      <c r="C1612" s="1" t="n">
        <v>45211</v>
      </c>
      <c r="D1612" t="inlineStr">
        <is>
          <t>ÖSTERGÖTLANDS LÄN</t>
        </is>
      </c>
      <c r="E1612" t="inlineStr">
        <is>
          <t>KINDA</t>
        </is>
      </c>
      <c r="G1612" t="n">
        <v>2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s="2" t="inlineStr"/>
    </row>
    <row r="1613" ht="15" customHeight="1">
      <c r="A1613" t="inlineStr">
        <is>
          <t>A 58961-2019</t>
        </is>
      </c>
      <c r="B1613" s="1" t="n">
        <v>43774</v>
      </c>
      <c r="C1613" s="1" t="n">
        <v>45211</v>
      </c>
      <c r="D1613" t="inlineStr">
        <is>
          <t>ÖSTERGÖTLANDS LÄN</t>
        </is>
      </c>
      <c r="E1613" t="inlineStr">
        <is>
          <t>VALDEMARSVIK</t>
        </is>
      </c>
      <c r="G1613" t="n">
        <v>1.1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s="2" t="inlineStr"/>
    </row>
    <row r="1614" ht="15" customHeight="1">
      <c r="A1614" t="inlineStr">
        <is>
          <t>A 58839-2019</t>
        </is>
      </c>
      <c r="B1614" s="1" t="n">
        <v>43774</v>
      </c>
      <c r="C1614" s="1" t="n">
        <v>45211</v>
      </c>
      <c r="D1614" t="inlineStr">
        <is>
          <t>ÖSTERGÖTLANDS LÄN</t>
        </is>
      </c>
      <c r="E1614" t="inlineStr">
        <is>
          <t>MOTALA</t>
        </is>
      </c>
      <c r="G1614" t="n">
        <v>2.4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s="2" t="inlineStr"/>
    </row>
    <row r="1615" ht="15" customHeight="1">
      <c r="A1615" t="inlineStr">
        <is>
          <t>A 58906-2019</t>
        </is>
      </c>
      <c r="B1615" s="1" t="n">
        <v>43774</v>
      </c>
      <c r="C1615" s="1" t="n">
        <v>45211</v>
      </c>
      <c r="D1615" t="inlineStr">
        <is>
          <t>ÖSTERGÖTLANDS LÄN</t>
        </is>
      </c>
      <c r="E1615" t="inlineStr">
        <is>
          <t>SÖDERKÖPING</t>
        </is>
      </c>
      <c r="G1615" t="n">
        <v>3.7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s="2" t="inlineStr"/>
    </row>
    <row r="1616" ht="15" customHeight="1">
      <c r="A1616" t="inlineStr">
        <is>
          <t>A 59053-2019</t>
        </is>
      </c>
      <c r="B1616" s="1" t="n">
        <v>43774</v>
      </c>
      <c r="C1616" s="1" t="n">
        <v>45211</v>
      </c>
      <c r="D1616" t="inlineStr">
        <is>
          <t>ÖSTERGÖTLANDS LÄN</t>
        </is>
      </c>
      <c r="E1616" t="inlineStr">
        <is>
          <t>LINKÖPING</t>
        </is>
      </c>
      <c r="G1616" t="n">
        <v>3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s="2" t="inlineStr"/>
    </row>
    <row r="1617" ht="15" customHeight="1">
      <c r="A1617" t="inlineStr">
        <is>
          <t>A 59242-2019</t>
        </is>
      </c>
      <c r="B1617" s="1" t="n">
        <v>43775</v>
      </c>
      <c r="C1617" s="1" t="n">
        <v>45211</v>
      </c>
      <c r="D1617" t="inlineStr">
        <is>
          <t>ÖSTERGÖTLANDS LÄN</t>
        </is>
      </c>
      <c r="E1617" t="inlineStr">
        <is>
          <t>KINDA</t>
        </is>
      </c>
      <c r="G1617" t="n">
        <v>0.9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s="2" t="inlineStr"/>
    </row>
    <row r="1618" ht="15" customHeight="1">
      <c r="A1618" t="inlineStr">
        <is>
          <t>A 59583-2019</t>
        </is>
      </c>
      <c r="B1618" s="1" t="n">
        <v>43776</v>
      </c>
      <c r="C1618" s="1" t="n">
        <v>45211</v>
      </c>
      <c r="D1618" t="inlineStr">
        <is>
          <t>ÖSTERGÖTLANDS LÄN</t>
        </is>
      </c>
      <c r="E1618" t="inlineStr">
        <is>
          <t>MOTALA</t>
        </is>
      </c>
      <c r="G1618" t="n">
        <v>2.1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s="2" t="inlineStr"/>
    </row>
    <row r="1619" ht="15" customHeight="1">
      <c r="A1619" t="inlineStr">
        <is>
          <t>A 59609-2019</t>
        </is>
      </c>
      <c r="B1619" s="1" t="n">
        <v>43776</v>
      </c>
      <c r="C1619" s="1" t="n">
        <v>45211</v>
      </c>
      <c r="D1619" t="inlineStr">
        <is>
          <t>ÖSTERGÖTLANDS LÄN</t>
        </is>
      </c>
      <c r="E1619" t="inlineStr">
        <is>
          <t>MOTALA</t>
        </is>
      </c>
      <c r="G1619" t="n">
        <v>0.7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s="2" t="inlineStr"/>
    </row>
    <row r="1620" ht="15" customHeight="1">
      <c r="A1620" t="inlineStr">
        <is>
          <t>A 59674-2019</t>
        </is>
      </c>
      <c r="B1620" s="1" t="n">
        <v>43776</v>
      </c>
      <c r="C1620" s="1" t="n">
        <v>45211</v>
      </c>
      <c r="D1620" t="inlineStr">
        <is>
          <t>ÖSTERGÖTLANDS LÄN</t>
        </is>
      </c>
      <c r="E1620" t="inlineStr">
        <is>
          <t>LINKÖPING</t>
        </is>
      </c>
      <c r="G1620" t="n">
        <v>0.8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s="2" t="inlineStr"/>
    </row>
    <row r="1621" ht="15" customHeight="1">
      <c r="A1621" t="inlineStr">
        <is>
          <t>A 59720-2019</t>
        </is>
      </c>
      <c r="B1621" s="1" t="n">
        <v>43776</v>
      </c>
      <c r="C1621" s="1" t="n">
        <v>45211</v>
      </c>
      <c r="D1621" t="inlineStr">
        <is>
          <t>ÖSTERGÖTLANDS LÄN</t>
        </is>
      </c>
      <c r="E1621" t="inlineStr">
        <is>
          <t>NORRKÖPING</t>
        </is>
      </c>
      <c r="G1621" t="n">
        <v>4.3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s="2" t="inlineStr"/>
    </row>
    <row r="1622" ht="15" customHeight="1">
      <c r="A1622" t="inlineStr">
        <is>
          <t>A 59685-2019</t>
        </is>
      </c>
      <c r="B1622" s="1" t="n">
        <v>43776</v>
      </c>
      <c r="C1622" s="1" t="n">
        <v>45211</v>
      </c>
      <c r="D1622" t="inlineStr">
        <is>
          <t>ÖSTERGÖTLANDS LÄN</t>
        </is>
      </c>
      <c r="E1622" t="inlineStr">
        <is>
          <t>LINKÖPING</t>
        </is>
      </c>
      <c r="G1622" t="n">
        <v>1.4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s="2" t="inlineStr"/>
    </row>
    <row r="1623" ht="15" customHeight="1">
      <c r="A1623" t="inlineStr">
        <is>
          <t>A 60355-2019</t>
        </is>
      </c>
      <c r="B1623" s="1" t="n">
        <v>43776</v>
      </c>
      <c r="C1623" s="1" t="n">
        <v>45211</v>
      </c>
      <c r="D1623" t="inlineStr">
        <is>
          <t>ÖSTERGÖTLANDS LÄN</t>
        </is>
      </c>
      <c r="E1623" t="inlineStr">
        <is>
          <t>LINKÖPING</t>
        </is>
      </c>
      <c r="G1623" t="n">
        <v>2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s="2" t="inlineStr"/>
    </row>
    <row r="1624" ht="15" customHeight="1">
      <c r="A1624" t="inlineStr">
        <is>
          <t>A 59939-2019</t>
        </is>
      </c>
      <c r="B1624" s="1" t="n">
        <v>43777</v>
      </c>
      <c r="C1624" s="1" t="n">
        <v>45211</v>
      </c>
      <c r="D1624" t="inlineStr">
        <is>
          <t>ÖSTERGÖTLANDS LÄN</t>
        </is>
      </c>
      <c r="E1624" t="inlineStr">
        <is>
          <t>NORRKÖPING</t>
        </is>
      </c>
      <c r="F1624" t="inlineStr">
        <is>
          <t>Allmännings- och besparingsskogar</t>
        </is>
      </c>
      <c r="G1624" t="n">
        <v>1.9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s="2" t="inlineStr"/>
    </row>
    <row r="1625" ht="15" customHeight="1">
      <c r="A1625" t="inlineStr">
        <is>
          <t>A 59884-2019</t>
        </is>
      </c>
      <c r="B1625" s="1" t="n">
        <v>43777</v>
      </c>
      <c r="C1625" s="1" t="n">
        <v>45211</v>
      </c>
      <c r="D1625" t="inlineStr">
        <is>
          <t>ÖSTERGÖTLANDS LÄN</t>
        </is>
      </c>
      <c r="E1625" t="inlineStr">
        <is>
          <t>SÖDERKÖPING</t>
        </is>
      </c>
      <c r="G1625" t="n">
        <v>3.3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s="2" t="inlineStr"/>
    </row>
    <row r="1626" ht="15" customHeight="1">
      <c r="A1626" t="inlineStr">
        <is>
          <t>A 60153-2019</t>
        </is>
      </c>
      <c r="B1626" s="1" t="n">
        <v>43779</v>
      </c>
      <c r="C1626" s="1" t="n">
        <v>45211</v>
      </c>
      <c r="D1626" t="inlineStr">
        <is>
          <t>ÖSTERGÖTLANDS LÄN</t>
        </is>
      </c>
      <c r="E1626" t="inlineStr">
        <is>
          <t>MOTALA</t>
        </is>
      </c>
      <c r="G1626" t="n">
        <v>1.6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s="2" t="inlineStr"/>
    </row>
    <row r="1627" ht="15" customHeight="1">
      <c r="A1627" t="inlineStr">
        <is>
          <t>A 60279-2019</t>
        </is>
      </c>
      <c r="B1627" s="1" t="n">
        <v>43780</v>
      </c>
      <c r="C1627" s="1" t="n">
        <v>45211</v>
      </c>
      <c r="D1627" t="inlineStr">
        <is>
          <t>ÖSTERGÖTLANDS LÄN</t>
        </is>
      </c>
      <c r="E1627" t="inlineStr">
        <is>
          <t>ÖDESHÖG</t>
        </is>
      </c>
      <c r="G1627" t="n">
        <v>1.2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s="2" t="inlineStr"/>
    </row>
    <row r="1628" ht="15" customHeight="1">
      <c r="A1628" t="inlineStr">
        <is>
          <t>A 60929-2019</t>
        </is>
      </c>
      <c r="B1628" s="1" t="n">
        <v>43780</v>
      </c>
      <c r="C1628" s="1" t="n">
        <v>45211</v>
      </c>
      <c r="D1628" t="inlineStr">
        <is>
          <t>ÖSTERGÖTLANDS LÄN</t>
        </is>
      </c>
      <c r="E1628" t="inlineStr">
        <is>
          <t>ÅTVIDABERG</t>
        </is>
      </c>
      <c r="G1628" t="n">
        <v>2.2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s="2" t="inlineStr"/>
    </row>
    <row r="1629" ht="15" customHeight="1">
      <c r="A1629" t="inlineStr">
        <is>
          <t>A 60354-2019</t>
        </is>
      </c>
      <c r="B1629" s="1" t="n">
        <v>43780</v>
      </c>
      <c r="C1629" s="1" t="n">
        <v>45211</v>
      </c>
      <c r="D1629" t="inlineStr">
        <is>
          <t>ÖSTERGÖTLANDS LÄN</t>
        </is>
      </c>
      <c r="E1629" t="inlineStr">
        <is>
          <t>MJÖLBY</t>
        </is>
      </c>
      <c r="G1629" t="n">
        <v>3.9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s="2" t="inlineStr"/>
    </row>
    <row r="1630" ht="15" customHeight="1">
      <c r="A1630" t="inlineStr">
        <is>
          <t>A 60584-2019</t>
        </is>
      </c>
      <c r="B1630" s="1" t="n">
        <v>43781</v>
      </c>
      <c r="C1630" s="1" t="n">
        <v>45211</v>
      </c>
      <c r="D1630" t="inlineStr">
        <is>
          <t>ÖSTERGÖTLANDS LÄN</t>
        </is>
      </c>
      <c r="E1630" t="inlineStr">
        <is>
          <t>LINKÖPING</t>
        </is>
      </c>
      <c r="G1630" t="n">
        <v>0.7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s="2" t="inlineStr"/>
    </row>
    <row r="1631" ht="15" customHeight="1">
      <c r="A1631" t="inlineStr">
        <is>
          <t>A 60603-2019</t>
        </is>
      </c>
      <c r="B1631" s="1" t="n">
        <v>43781</v>
      </c>
      <c r="C1631" s="1" t="n">
        <v>45211</v>
      </c>
      <c r="D1631" t="inlineStr">
        <is>
          <t>ÖSTERGÖTLANDS LÄN</t>
        </is>
      </c>
      <c r="E1631" t="inlineStr">
        <is>
          <t>KINDA</t>
        </is>
      </c>
      <c r="G1631" t="n">
        <v>3.3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s="2" t="inlineStr"/>
    </row>
    <row r="1632" ht="15" customHeight="1">
      <c r="A1632" t="inlineStr">
        <is>
          <t>A 60782-2019</t>
        </is>
      </c>
      <c r="B1632" s="1" t="n">
        <v>43781</v>
      </c>
      <c r="C1632" s="1" t="n">
        <v>45211</v>
      </c>
      <c r="D1632" t="inlineStr">
        <is>
          <t>ÖSTERGÖTLANDS LÄN</t>
        </is>
      </c>
      <c r="E1632" t="inlineStr">
        <is>
          <t>YDRE</t>
        </is>
      </c>
      <c r="G1632" t="n">
        <v>1.1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s="2" t="inlineStr"/>
    </row>
    <row r="1633" ht="15" customHeight="1">
      <c r="A1633" t="inlineStr">
        <is>
          <t>A 60791-2019</t>
        </is>
      </c>
      <c r="B1633" s="1" t="n">
        <v>43781</v>
      </c>
      <c r="C1633" s="1" t="n">
        <v>45211</v>
      </c>
      <c r="D1633" t="inlineStr">
        <is>
          <t>ÖSTERGÖTLANDS LÄN</t>
        </is>
      </c>
      <c r="E1633" t="inlineStr">
        <is>
          <t>MOTALA</t>
        </is>
      </c>
      <c r="G1633" t="n">
        <v>28.7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s="2" t="inlineStr"/>
    </row>
    <row r="1634" ht="15" customHeight="1">
      <c r="A1634" t="inlineStr">
        <is>
          <t>A 60610-2019</t>
        </is>
      </c>
      <c r="B1634" s="1" t="n">
        <v>43781</v>
      </c>
      <c r="C1634" s="1" t="n">
        <v>45211</v>
      </c>
      <c r="D1634" t="inlineStr">
        <is>
          <t>ÖSTERGÖTLANDS LÄN</t>
        </is>
      </c>
      <c r="E1634" t="inlineStr">
        <is>
          <t>NORRKÖPING</t>
        </is>
      </c>
      <c r="G1634" t="n">
        <v>0.6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s="2" t="inlineStr"/>
    </row>
    <row r="1635" ht="15" customHeight="1">
      <c r="A1635" t="inlineStr">
        <is>
          <t>A 60699-2019</t>
        </is>
      </c>
      <c r="B1635" s="1" t="n">
        <v>43781</v>
      </c>
      <c r="C1635" s="1" t="n">
        <v>45211</v>
      </c>
      <c r="D1635" t="inlineStr">
        <is>
          <t>ÖSTERGÖTLANDS LÄN</t>
        </is>
      </c>
      <c r="E1635" t="inlineStr">
        <is>
          <t>LINKÖPING</t>
        </is>
      </c>
      <c r="F1635" t="inlineStr">
        <is>
          <t>Övriga statliga verk och myndigheter</t>
        </is>
      </c>
      <c r="G1635" t="n">
        <v>1.2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s="2" t="inlineStr"/>
    </row>
    <row r="1636" ht="15" customHeight="1">
      <c r="A1636" t="inlineStr">
        <is>
          <t>A 60858-2019</t>
        </is>
      </c>
      <c r="B1636" s="1" t="n">
        <v>43781</v>
      </c>
      <c r="C1636" s="1" t="n">
        <v>45211</v>
      </c>
      <c r="D1636" t="inlineStr">
        <is>
          <t>ÖSTERGÖTLANDS LÄN</t>
        </is>
      </c>
      <c r="E1636" t="inlineStr">
        <is>
          <t>ÅTVIDABERG</t>
        </is>
      </c>
      <c r="G1636" t="n">
        <v>1.3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s="2" t="inlineStr"/>
    </row>
    <row r="1637" ht="15" customHeight="1">
      <c r="A1637" t="inlineStr">
        <is>
          <t>A 61890-2019</t>
        </is>
      </c>
      <c r="B1637" s="1" t="n">
        <v>43781</v>
      </c>
      <c r="C1637" s="1" t="n">
        <v>45211</v>
      </c>
      <c r="D1637" t="inlineStr">
        <is>
          <t>ÖSTERGÖTLANDS LÄN</t>
        </is>
      </c>
      <c r="E1637" t="inlineStr">
        <is>
          <t>ÅTVIDABERG</t>
        </is>
      </c>
      <c r="G1637" t="n">
        <v>4.1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s="2" t="inlineStr"/>
    </row>
    <row r="1638" ht="15" customHeight="1">
      <c r="A1638" t="inlineStr">
        <is>
          <t>A 60984-2019</t>
        </is>
      </c>
      <c r="B1638" s="1" t="n">
        <v>43782</v>
      </c>
      <c r="C1638" s="1" t="n">
        <v>45211</v>
      </c>
      <c r="D1638" t="inlineStr">
        <is>
          <t>ÖSTERGÖTLANDS LÄN</t>
        </is>
      </c>
      <c r="E1638" t="inlineStr">
        <is>
          <t>NORRKÖPING</t>
        </is>
      </c>
      <c r="F1638" t="inlineStr">
        <is>
          <t>Allmännings- och besparingsskogar</t>
        </is>
      </c>
      <c r="G1638" t="n">
        <v>0.7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s="2" t="inlineStr"/>
    </row>
    <row r="1639" ht="15" customHeight="1">
      <c r="A1639" t="inlineStr">
        <is>
          <t>A 60986-2019</t>
        </is>
      </c>
      <c r="B1639" s="1" t="n">
        <v>43782</v>
      </c>
      <c r="C1639" s="1" t="n">
        <v>45211</v>
      </c>
      <c r="D1639" t="inlineStr">
        <is>
          <t>ÖSTERGÖTLANDS LÄN</t>
        </is>
      </c>
      <c r="E1639" t="inlineStr">
        <is>
          <t>MOTALA</t>
        </is>
      </c>
      <c r="G1639" t="n">
        <v>6.3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s="2" t="inlineStr"/>
    </row>
    <row r="1640" ht="15" customHeight="1">
      <c r="A1640" t="inlineStr">
        <is>
          <t>A 62217-2019</t>
        </is>
      </c>
      <c r="B1640" s="1" t="n">
        <v>43782</v>
      </c>
      <c r="C1640" s="1" t="n">
        <v>45211</v>
      </c>
      <c r="D1640" t="inlineStr">
        <is>
          <t>ÖSTERGÖTLANDS LÄN</t>
        </is>
      </c>
      <c r="E1640" t="inlineStr">
        <is>
          <t>KINDA</t>
        </is>
      </c>
      <c r="G1640" t="n">
        <v>2.6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s="2" t="inlineStr"/>
    </row>
    <row r="1641" ht="15" customHeight="1">
      <c r="A1641" t="inlineStr">
        <is>
          <t>A 60987-2019</t>
        </is>
      </c>
      <c r="B1641" s="1" t="n">
        <v>43782</v>
      </c>
      <c r="C1641" s="1" t="n">
        <v>45211</v>
      </c>
      <c r="D1641" t="inlineStr">
        <is>
          <t>ÖSTERGÖTLANDS LÄN</t>
        </is>
      </c>
      <c r="E1641" t="inlineStr">
        <is>
          <t>NORRKÖPING</t>
        </is>
      </c>
      <c r="F1641" t="inlineStr">
        <is>
          <t>Allmännings- och besparingsskogar</t>
        </is>
      </c>
      <c r="G1641" t="n">
        <v>0.6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s="2" t="inlineStr"/>
    </row>
    <row r="1642" ht="15" customHeight="1">
      <c r="A1642" t="inlineStr">
        <is>
          <t>A 62383-2019</t>
        </is>
      </c>
      <c r="B1642" s="1" t="n">
        <v>43782</v>
      </c>
      <c r="C1642" s="1" t="n">
        <v>45211</v>
      </c>
      <c r="D1642" t="inlineStr">
        <is>
          <t>ÖSTERGÖTLANDS LÄN</t>
        </is>
      </c>
      <c r="E1642" t="inlineStr">
        <is>
          <t>MJÖLBY</t>
        </is>
      </c>
      <c r="G1642" t="n">
        <v>5.1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s="2" t="inlineStr"/>
    </row>
    <row r="1643" ht="15" customHeight="1">
      <c r="A1643" t="inlineStr">
        <is>
          <t>A 62227-2019</t>
        </is>
      </c>
      <c r="B1643" s="1" t="n">
        <v>43782</v>
      </c>
      <c r="C1643" s="1" t="n">
        <v>45211</v>
      </c>
      <c r="D1643" t="inlineStr">
        <is>
          <t>ÖSTERGÖTLANDS LÄN</t>
        </is>
      </c>
      <c r="E1643" t="inlineStr">
        <is>
          <t>KINDA</t>
        </is>
      </c>
      <c r="G1643" t="n">
        <v>2.7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s="2" t="inlineStr"/>
    </row>
    <row r="1644" ht="15" customHeight="1">
      <c r="A1644" t="inlineStr">
        <is>
          <t>A 61294-2019</t>
        </is>
      </c>
      <c r="B1644" s="1" t="n">
        <v>43783</v>
      </c>
      <c r="C1644" s="1" t="n">
        <v>45211</v>
      </c>
      <c r="D1644" t="inlineStr">
        <is>
          <t>ÖSTERGÖTLANDS LÄN</t>
        </is>
      </c>
      <c r="E1644" t="inlineStr">
        <is>
          <t>MOTALA</t>
        </is>
      </c>
      <c r="F1644" t="inlineStr">
        <is>
          <t>Sveaskog</t>
        </is>
      </c>
      <c r="G1644" t="n">
        <v>2.6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s="2" t="inlineStr"/>
    </row>
    <row r="1645" ht="15" customHeight="1">
      <c r="A1645" t="inlineStr">
        <is>
          <t>A 61308-2019</t>
        </is>
      </c>
      <c r="B1645" s="1" t="n">
        <v>43783</v>
      </c>
      <c r="C1645" s="1" t="n">
        <v>45211</v>
      </c>
      <c r="D1645" t="inlineStr">
        <is>
          <t>ÖSTERGÖTLANDS LÄN</t>
        </is>
      </c>
      <c r="E1645" t="inlineStr">
        <is>
          <t>MOTALA</t>
        </is>
      </c>
      <c r="F1645" t="inlineStr">
        <is>
          <t>Sveaskog</t>
        </is>
      </c>
      <c r="G1645" t="n">
        <v>6.6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s="2" t="inlineStr"/>
    </row>
    <row r="1646" ht="15" customHeight="1">
      <c r="A1646" t="inlineStr">
        <is>
          <t>A 61406-2019</t>
        </is>
      </c>
      <c r="B1646" s="1" t="n">
        <v>43783</v>
      </c>
      <c r="C1646" s="1" t="n">
        <v>45211</v>
      </c>
      <c r="D1646" t="inlineStr">
        <is>
          <t>ÖSTERGÖTLANDS LÄN</t>
        </is>
      </c>
      <c r="E1646" t="inlineStr">
        <is>
          <t>ÖDESHÖG</t>
        </is>
      </c>
      <c r="G1646" t="n">
        <v>3.2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s="2" t="inlineStr"/>
    </row>
    <row r="1647" ht="15" customHeight="1">
      <c r="A1647" t="inlineStr">
        <is>
          <t>A 61292-2019</t>
        </is>
      </c>
      <c r="B1647" s="1" t="n">
        <v>43783</v>
      </c>
      <c r="C1647" s="1" t="n">
        <v>45211</v>
      </c>
      <c r="D1647" t="inlineStr">
        <is>
          <t>ÖSTERGÖTLANDS LÄN</t>
        </is>
      </c>
      <c r="E1647" t="inlineStr">
        <is>
          <t>MJÖLBY</t>
        </is>
      </c>
      <c r="G1647" t="n">
        <v>4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s="2" t="inlineStr"/>
    </row>
    <row r="1648" ht="15" customHeight="1">
      <c r="A1648" t="inlineStr">
        <is>
          <t>A 61422-2019</t>
        </is>
      </c>
      <c r="B1648" s="1" t="n">
        <v>43783</v>
      </c>
      <c r="C1648" s="1" t="n">
        <v>45211</v>
      </c>
      <c r="D1648" t="inlineStr">
        <is>
          <t>ÖSTERGÖTLANDS LÄN</t>
        </is>
      </c>
      <c r="E1648" t="inlineStr">
        <is>
          <t>ÖDESHÖG</t>
        </is>
      </c>
      <c r="G1648" t="n">
        <v>0.8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s="2" t="inlineStr"/>
    </row>
    <row r="1649" ht="15" customHeight="1">
      <c r="A1649" t="inlineStr">
        <is>
          <t>A 61654-2019</t>
        </is>
      </c>
      <c r="B1649" s="1" t="n">
        <v>43784</v>
      </c>
      <c r="C1649" s="1" t="n">
        <v>45211</v>
      </c>
      <c r="D1649" t="inlineStr">
        <is>
          <t>ÖSTERGÖTLANDS LÄN</t>
        </is>
      </c>
      <c r="E1649" t="inlineStr">
        <is>
          <t>VALDEMARSVIK</t>
        </is>
      </c>
      <c r="G1649" t="n">
        <v>0.5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s="2" t="inlineStr"/>
    </row>
    <row r="1650" ht="15" customHeight="1">
      <c r="A1650" t="inlineStr">
        <is>
          <t>A 61853-2019</t>
        </is>
      </c>
      <c r="B1650" s="1" t="n">
        <v>43787</v>
      </c>
      <c r="C1650" s="1" t="n">
        <v>45211</v>
      </c>
      <c r="D1650" t="inlineStr">
        <is>
          <t>ÖSTERGÖTLANDS LÄN</t>
        </is>
      </c>
      <c r="E1650" t="inlineStr">
        <is>
          <t>FINSPÅNG</t>
        </is>
      </c>
      <c r="G1650" t="n">
        <v>9.9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s="2" t="inlineStr"/>
    </row>
    <row r="1651" ht="15" customHeight="1">
      <c r="A1651" t="inlineStr">
        <is>
          <t>A 61854-2019</t>
        </is>
      </c>
      <c r="B1651" s="1" t="n">
        <v>43787</v>
      </c>
      <c r="C1651" s="1" t="n">
        <v>45211</v>
      </c>
      <c r="D1651" t="inlineStr">
        <is>
          <t>ÖSTERGÖTLANDS LÄN</t>
        </is>
      </c>
      <c r="E1651" t="inlineStr">
        <is>
          <t>FINSPÅNG</t>
        </is>
      </c>
      <c r="G1651" t="n">
        <v>3.3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s="2" t="inlineStr"/>
    </row>
    <row r="1652" ht="15" customHeight="1">
      <c r="A1652" t="inlineStr">
        <is>
          <t>A 61856-2019</t>
        </is>
      </c>
      <c r="B1652" s="1" t="n">
        <v>43787</v>
      </c>
      <c r="C1652" s="1" t="n">
        <v>45211</v>
      </c>
      <c r="D1652" t="inlineStr">
        <is>
          <t>ÖSTERGÖTLANDS LÄN</t>
        </is>
      </c>
      <c r="E1652" t="inlineStr">
        <is>
          <t>FINSPÅNG</t>
        </is>
      </c>
      <c r="G1652" t="n">
        <v>7.6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s="2" t="inlineStr"/>
    </row>
    <row r="1653" ht="15" customHeight="1">
      <c r="A1653" t="inlineStr">
        <is>
          <t>A 62099-2019</t>
        </is>
      </c>
      <c r="B1653" s="1" t="n">
        <v>43787</v>
      </c>
      <c r="C1653" s="1" t="n">
        <v>45211</v>
      </c>
      <c r="D1653" t="inlineStr">
        <is>
          <t>ÖSTERGÖTLANDS LÄN</t>
        </is>
      </c>
      <c r="E1653" t="inlineStr">
        <is>
          <t>FINSPÅNG</t>
        </is>
      </c>
      <c r="G1653" t="n">
        <v>2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s="2" t="inlineStr"/>
    </row>
    <row r="1654" ht="15" customHeight="1">
      <c r="A1654" t="inlineStr">
        <is>
          <t>A 61855-2019</t>
        </is>
      </c>
      <c r="B1654" s="1" t="n">
        <v>43787</v>
      </c>
      <c r="C1654" s="1" t="n">
        <v>45211</v>
      </c>
      <c r="D1654" t="inlineStr">
        <is>
          <t>ÖSTERGÖTLANDS LÄN</t>
        </is>
      </c>
      <c r="E1654" t="inlineStr">
        <is>
          <t>FINSPÅNG</t>
        </is>
      </c>
      <c r="G1654" t="n">
        <v>6.2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s="2" t="inlineStr"/>
    </row>
    <row r="1655" ht="15" customHeight="1">
      <c r="A1655" t="inlineStr">
        <is>
          <t>A 61900-2019</t>
        </is>
      </c>
      <c r="B1655" s="1" t="n">
        <v>43787</v>
      </c>
      <c r="C1655" s="1" t="n">
        <v>45211</v>
      </c>
      <c r="D1655" t="inlineStr">
        <is>
          <t>ÖSTERGÖTLANDS LÄN</t>
        </is>
      </c>
      <c r="E1655" t="inlineStr">
        <is>
          <t>KINDA</t>
        </is>
      </c>
      <c r="G1655" t="n">
        <v>0.6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s="2" t="inlineStr"/>
    </row>
    <row r="1656" ht="15" customHeight="1">
      <c r="A1656" t="inlineStr">
        <is>
          <t>A 61995-2019</t>
        </is>
      </c>
      <c r="B1656" s="1" t="n">
        <v>43787</v>
      </c>
      <c r="C1656" s="1" t="n">
        <v>45211</v>
      </c>
      <c r="D1656" t="inlineStr">
        <is>
          <t>ÖSTERGÖTLANDS LÄN</t>
        </is>
      </c>
      <c r="E1656" t="inlineStr">
        <is>
          <t>SÖDERKÖPING</t>
        </is>
      </c>
      <c r="G1656" t="n">
        <v>1.5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s="2" t="inlineStr"/>
    </row>
    <row r="1657" ht="15" customHeight="1">
      <c r="A1657" t="inlineStr">
        <is>
          <t>A 62414-2019</t>
        </is>
      </c>
      <c r="B1657" s="1" t="n">
        <v>43788</v>
      </c>
      <c r="C1657" s="1" t="n">
        <v>45211</v>
      </c>
      <c r="D1657" t="inlineStr">
        <is>
          <t>ÖSTERGÖTLANDS LÄN</t>
        </is>
      </c>
      <c r="E1657" t="inlineStr">
        <is>
          <t>YDRE</t>
        </is>
      </c>
      <c r="F1657" t="inlineStr">
        <is>
          <t>Sveaskog</t>
        </is>
      </c>
      <c r="G1657" t="n">
        <v>3.5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s="2" t="inlineStr"/>
    </row>
    <row r="1658" ht="15" customHeight="1">
      <c r="A1658" t="inlineStr">
        <is>
          <t>A 62788-2019</t>
        </is>
      </c>
      <c r="B1658" s="1" t="n">
        <v>43790</v>
      </c>
      <c r="C1658" s="1" t="n">
        <v>45211</v>
      </c>
      <c r="D1658" t="inlineStr">
        <is>
          <t>ÖSTERGÖTLANDS LÄN</t>
        </is>
      </c>
      <c r="E1658" t="inlineStr">
        <is>
          <t>MJÖLBY</t>
        </is>
      </c>
      <c r="G1658" t="n">
        <v>1.9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s="2" t="inlineStr"/>
    </row>
    <row r="1659" ht="15" customHeight="1">
      <c r="A1659" t="inlineStr">
        <is>
          <t>A 62813-2019</t>
        </is>
      </c>
      <c r="B1659" s="1" t="n">
        <v>43790</v>
      </c>
      <c r="C1659" s="1" t="n">
        <v>45211</v>
      </c>
      <c r="D1659" t="inlineStr">
        <is>
          <t>ÖSTERGÖTLANDS LÄN</t>
        </is>
      </c>
      <c r="E1659" t="inlineStr">
        <is>
          <t>MOTALA</t>
        </is>
      </c>
      <c r="G1659" t="n">
        <v>4.4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s="2" t="inlineStr"/>
    </row>
    <row r="1660" ht="15" customHeight="1">
      <c r="A1660" t="inlineStr">
        <is>
          <t>A 63039-2019</t>
        </is>
      </c>
      <c r="B1660" s="1" t="n">
        <v>43791</v>
      </c>
      <c r="C1660" s="1" t="n">
        <v>45211</v>
      </c>
      <c r="D1660" t="inlineStr">
        <is>
          <t>ÖSTERGÖTLANDS LÄN</t>
        </is>
      </c>
      <c r="E1660" t="inlineStr">
        <is>
          <t>YDRE</t>
        </is>
      </c>
      <c r="F1660" t="inlineStr">
        <is>
          <t>Kyrkan</t>
        </is>
      </c>
      <c r="G1660" t="n">
        <v>1.6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s="2" t="inlineStr"/>
    </row>
    <row r="1661" ht="15" customHeight="1">
      <c r="A1661" t="inlineStr">
        <is>
          <t>A 63059-2019</t>
        </is>
      </c>
      <c r="B1661" s="1" t="n">
        <v>43791</v>
      </c>
      <c r="C1661" s="1" t="n">
        <v>45211</v>
      </c>
      <c r="D1661" t="inlineStr">
        <is>
          <t>ÖSTERGÖTLANDS LÄN</t>
        </is>
      </c>
      <c r="E1661" t="inlineStr">
        <is>
          <t>MOTALA</t>
        </is>
      </c>
      <c r="F1661" t="inlineStr">
        <is>
          <t>Kommuner</t>
        </is>
      </c>
      <c r="G1661" t="n">
        <v>1.3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s="2" t="inlineStr"/>
    </row>
    <row r="1662" ht="15" customHeight="1">
      <c r="A1662" t="inlineStr">
        <is>
          <t>A 63167-2019</t>
        </is>
      </c>
      <c r="B1662" s="1" t="n">
        <v>43791</v>
      </c>
      <c r="C1662" s="1" t="n">
        <v>45211</v>
      </c>
      <c r="D1662" t="inlineStr">
        <is>
          <t>ÖSTERGÖTLANDS LÄN</t>
        </is>
      </c>
      <c r="E1662" t="inlineStr">
        <is>
          <t>VALDEMARSVIK</t>
        </is>
      </c>
      <c r="G1662" t="n">
        <v>1.2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s="2" t="inlineStr"/>
    </row>
    <row r="1663" ht="15" customHeight="1">
      <c r="A1663" t="inlineStr">
        <is>
          <t>A 63017-2019</t>
        </is>
      </c>
      <c r="B1663" s="1" t="n">
        <v>43791</v>
      </c>
      <c r="C1663" s="1" t="n">
        <v>45211</v>
      </c>
      <c r="D1663" t="inlineStr">
        <is>
          <t>ÖSTERGÖTLANDS LÄN</t>
        </is>
      </c>
      <c r="E1663" t="inlineStr">
        <is>
          <t>ÖDESHÖG</t>
        </is>
      </c>
      <c r="G1663" t="n">
        <v>3.1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s="2" t="inlineStr"/>
    </row>
    <row r="1664" ht="15" customHeight="1">
      <c r="A1664" t="inlineStr">
        <is>
          <t>A 63055-2019</t>
        </is>
      </c>
      <c r="B1664" s="1" t="n">
        <v>43791</v>
      </c>
      <c r="C1664" s="1" t="n">
        <v>45211</v>
      </c>
      <c r="D1664" t="inlineStr">
        <is>
          <t>ÖSTERGÖTLANDS LÄN</t>
        </is>
      </c>
      <c r="E1664" t="inlineStr">
        <is>
          <t>MJÖLBY</t>
        </is>
      </c>
      <c r="G1664" t="n">
        <v>2.8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s="2" t="inlineStr"/>
    </row>
    <row r="1665" ht="15" customHeight="1">
      <c r="A1665" t="inlineStr">
        <is>
          <t>A 63238-2019</t>
        </is>
      </c>
      <c r="B1665" s="1" t="n">
        <v>43792</v>
      </c>
      <c r="C1665" s="1" t="n">
        <v>45211</v>
      </c>
      <c r="D1665" t="inlineStr">
        <is>
          <t>ÖSTERGÖTLANDS LÄN</t>
        </is>
      </c>
      <c r="E1665" t="inlineStr">
        <is>
          <t>FINSPÅNG</t>
        </is>
      </c>
      <c r="G1665" t="n">
        <v>0.5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s="2" t="inlineStr"/>
    </row>
    <row r="1666" ht="15" customHeight="1">
      <c r="A1666" t="inlineStr">
        <is>
          <t>A 63237-2019</t>
        </is>
      </c>
      <c r="B1666" s="1" t="n">
        <v>43792</v>
      </c>
      <c r="C1666" s="1" t="n">
        <v>45211</v>
      </c>
      <c r="D1666" t="inlineStr">
        <is>
          <t>ÖSTERGÖTLANDS LÄN</t>
        </is>
      </c>
      <c r="E1666" t="inlineStr">
        <is>
          <t>FINSPÅNG</t>
        </is>
      </c>
      <c r="G1666" t="n">
        <v>10.2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s="2" t="inlineStr"/>
    </row>
    <row r="1667" ht="15" customHeight="1">
      <c r="A1667" t="inlineStr">
        <is>
          <t>A 63479-2019</t>
        </is>
      </c>
      <c r="B1667" s="1" t="n">
        <v>43794</v>
      </c>
      <c r="C1667" s="1" t="n">
        <v>45211</v>
      </c>
      <c r="D1667" t="inlineStr">
        <is>
          <t>ÖSTERGÖTLANDS LÄN</t>
        </is>
      </c>
      <c r="E1667" t="inlineStr">
        <is>
          <t>LINKÖPING</t>
        </is>
      </c>
      <c r="G1667" t="n">
        <v>2.9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s="2" t="inlineStr"/>
    </row>
    <row r="1668" ht="15" customHeight="1">
      <c r="A1668" t="inlineStr">
        <is>
          <t>A 63481-2019</t>
        </is>
      </c>
      <c r="B1668" s="1" t="n">
        <v>43794</v>
      </c>
      <c r="C1668" s="1" t="n">
        <v>45211</v>
      </c>
      <c r="D1668" t="inlineStr">
        <is>
          <t>ÖSTERGÖTLANDS LÄN</t>
        </is>
      </c>
      <c r="E1668" t="inlineStr">
        <is>
          <t>LINKÖPING</t>
        </is>
      </c>
      <c r="G1668" t="n">
        <v>3.8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s="2" t="inlineStr"/>
    </row>
    <row r="1669" ht="15" customHeight="1">
      <c r="A1669" t="inlineStr">
        <is>
          <t>A 63682-2019</t>
        </is>
      </c>
      <c r="B1669" s="1" t="n">
        <v>43795</v>
      </c>
      <c r="C1669" s="1" t="n">
        <v>45211</v>
      </c>
      <c r="D1669" t="inlineStr">
        <is>
          <t>ÖSTERGÖTLANDS LÄN</t>
        </is>
      </c>
      <c r="E1669" t="inlineStr">
        <is>
          <t>LINKÖPING</t>
        </is>
      </c>
      <c r="F1669" t="inlineStr">
        <is>
          <t>Övriga Aktiebolag</t>
        </is>
      </c>
      <c r="G1669" t="n">
        <v>1.4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s="2" t="inlineStr"/>
    </row>
    <row r="1670" ht="15" customHeight="1">
      <c r="A1670" t="inlineStr">
        <is>
          <t>A 63900-2019</t>
        </is>
      </c>
      <c r="B1670" s="1" t="n">
        <v>43795</v>
      </c>
      <c r="C1670" s="1" t="n">
        <v>45211</v>
      </c>
      <c r="D1670" t="inlineStr">
        <is>
          <t>ÖSTERGÖTLANDS LÄN</t>
        </is>
      </c>
      <c r="E1670" t="inlineStr">
        <is>
          <t>MOTALA</t>
        </is>
      </c>
      <c r="G1670" t="n">
        <v>7.2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s="2" t="inlineStr"/>
    </row>
    <row r="1671" ht="15" customHeight="1">
      <c r="A1671" t="inlineStr">
        <is>
          <t>A 63830-2019</t>
        </is>
      </c>
      <c r="B1671" s="1" t="n">
        <v>43795</v>
      </c>
      <c r="C1671" s="1" t="n">
        <v>45211</v>
      </c>
      <c r="D1671" t="inlineStr">
        <is>
          <t>ÖSTERGÖTLANDS LÄN</t>
        </is>
      </c>
      <c r="E1671" t="inlineStr">
        <is>
          <t>SÖDERKÖPING</t>
        </is>
      </c>
      <c r="G1671" t="n">
        <v>4.1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s="2" t="inlineStr"/>
    </row>
    <row r="1672" ht="15" customHeight="1">
      <c r="A1672" t="inlineStr">
        <is>
          <t>A 63738-2019</t>
        </is>
      </c>
      <c r="B1672" s="1" t="n">
        <v>43795</v>
      </c>
      <c r="C1672" s="1" t="n">
        <v>45211</v>
      </c>
      <c r="D1672" t="inlineStr">
        <is>
          <t>ÖSTERGÖTLANDS LÄN</t>
        </is>
      </c>
      <c r="E1672" t="inlineStr">
        <is>
          <t>MJÖLBY</t>
        </is>
      </c>
      <c r="G1672" t="n">
        <v>3.7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s="2" t="inlineStr"/>
    </row>
    <row r="1673" ht="15" customHeight="1">
      <c r="A1673" t="inlineStr">
        <is>
          <t>A 63784-2019</t>
        </is>
      </c>
      <c r="B1673" s="1" t="n">
        <v>43795</v>
      </c>
      <c r="C1673" s="1" t="n">
        <v>45211</v>
      </c>
      <c r="D1673" t="inlineStr">
        <is>
          <t>ÖSTERGÖTLANDS LÄN</t>
        </is>
      </c>
      <c r="E1673" t="inlineStr">
        <is>
          <t>KINDA</t>
        </is>
      </c>
      <c r="G1673" t="n">
        <v>2.4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s="2" t="inlineStr"/>
    </row>
    <row r="1674" ht="15" customHeight="1">
      <c r="A1674" t="inlineStr">
        <is>
          <t>A 64830-2019</t>
        </is>
      </c>
      <c r="B1674" s="1" t="n">
        <v>43795</v>
      </c>
      <c r="C1674" s="1" t="n">
        <v>45211</v>
      </c>
      <c r="D1674" t="inlineStr">
        <is>
          <t>ÖSTERGÖTLANDS LÄN</t>
        </is>
      </c>
      <c r="E1674" t="inlineStr">
        <is>
          <t>KINDA</t>
        </is>
      </c>
      <c r="G1674" t="n">
        <v>2.7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s="2" t="inlineStr"/>
    </row>
    <row r="1675" ht="15" customHeight="1">
      <c r="A1675" t="inlineStr">
        <is>
          <t>A 63864-2019</t>
        </is>
      </c>
      <c r="B1675" s="1" t="n">
        <v>43796</v>
      </c>
      <c r="C1675" s="1" t="n">
        <v>45211</v>
      </c>
      <c r="D1675" t="inlineStr">
        <is>
          <t>ÖSTERGÖTLANDS LÄN</t>
        </is>
      </c>
      <c r="E1675" t="inlineStr">
        <is>
          <t>KINDA</t>
        </is>
      </c>
      <c r="G1675" t="n">
        <v>1.1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s="2" t="inlineStr"/>
    </row>
    <row r="1676" ht="15" customHeight="1">
      <c r="A1676" t="inlineStr">
        <is>
          <t>A 63931-2019</t>
        </is>
      </c>
      <c r="B1676" s="1" t="n">
        <v>43796</v>
      </c>
      <c r="C1676" s="1" t="n">
        <v>45211</v>
      </c>
      <c r="D1676" t="inlineStr">
        <is>
          <t>ÖSTERGÖTLANDS LÄN</t>
        </is>
      </c>
      <c r="E1676" t="inlineStr">
        <is>
          <t>MJÖLBY</t>
        </is>
      </c>
      <c r="G1676" t="n">
        <v>3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s="2" t="inlineStr"/>
    </row>
    <row r="1677" ht="15" customHeight="1">
      <c r="A1677" t="inlineStr">
        <is>
          <t>A 65160-2019</t>
        </is>
      </c>
      <c r="B1677" s="1" t="n">
        <v>43796</v>
      </c>
      <c r="C1677" s="1" t="n">
        <v>45211</v>
      </c>
      <c r="D1677" t="inlineStr">
        <is>
          <t>ÖSTERGÖTLANDS LÄN</t>
        </is>
      </c>
      <c r="E1677" t="inlineStr">
        <is>
          <t>FINSPÅNG</t>
        </is>
      </c>
      <c r="G1677" t="n">
        <v>1.8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s="2" t="inlineStr"/>
    </row>
    <row r="1678" ht="15" customHeight="1">
      <c r="A1678" t="inlineStr">
        <is>
          <t>A 63871-2019</t>
        </is>
      </c>
      <c r="B1678" s="1" t="n">
        <v>43796</v>
      </c>
      <c r="C1678" s="1" t="n">
        <v>45211</v>
      </c>
      <c r="D1678" t="inlineStr">
        <is>
          <t>ÖSTERGÖTLANDS LÄN</t>
        </is>
      </c>
      <c r="E1678" t="inlineStr">
        <is>
          <t>KINDA</t>
        </is>
      </c>
      <c r="G1678" t="n">
        <v>0.9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s="2" t="inlineStr"/>
    </row>
    <row r="1679" ht="15" customHeight="1">
      <c r="A1679" t="inlineStr">
        <is>
          <t>A 63984-2019</t>
        </is>
      </c>
      <c r="B1679" s="1" t="n">
        <v>43796</v>
      </c>
      <c r="C1679" s="1" t="n">
        <v>45211</v>
      </c>
      <c r="D1679" t="inlineStr">
        <is>
          <t>ÖSTERGÖTLANDS LÄN</t>
        </is>
      </c>
      <c r="E1679" t="inlineStr">
        <is>
          <t>NORRKÖPING</t>
        </is>
      </c>
      <c r="G1679" t="n">
        <v>13.3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s="2" t="inlineStr"/>
    </row>
    <row r="1680" ht="15" customHeight="1">
      <c r="A1680" t="inlineStr">
        <is>
          <t>A 65134-2019</t>
        </is>
      </c>
      <c r="B1680" s="1" t="n">
        <v>43796</v>
      </c>
      <c r="C1680" s="1" t="n">
        <v>45211</v>
      </c>
      <c r="D1680" t="inlineStr">
        <is>
          <t>ÖSTERGÖTLANDS LÄN</t>
        </is>
      </c>
      <c r="E1680" t="inlineStr">
        <is>
          <t>YDRE</t>
        </is>
      </c>
      <c r="G1680" t="n">
        <v>1.2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s="2" t="inlineStr"/>
    </row>
    <row r="1681" ht="15" customHeight="1">
      <c r="A1681" t="inlineStr">
        <is>
          <t>A 63862-2019</t>
        </is>
      </c>
      <c r="B1681" s="1" t="n">
        <v>43796</v>
      </c>
      <c r="C1681" s="1" t="n">
        <v>45211</v>
      </c>
      <c r="D1681" t="inlineStr">
        <is>
          <t>ÖSTERGÖTLANDS LÄN</t>
        </is>
      </c>
      <c r="E1681" t="inlineStr">
        <is>
          <t>KINDA</t>
        </is>
      </c>
      <c r="G1681" t="n">
        <v>5.4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s="2" t="inlineStr"/>
    </row>
    <row r="1682" ht="15" customHeight="1">
      <c r="A1682" t="inlineStr">
        <is>
          <t>A 63929-2019</t>
        </is>
      </c>
      <c r="B1682" s="1" t="n">
        <v>43796</v>
      </c>
      <c r="C1682" s="1" t="n">
        <v>45211</v>
      </c>
      <c r="D1682" t="inlineStr">
        <is>
          <t>ÖSTERGÖTLANDS LÄN</t>
        </is>
      </c>
      <c r="E1682" t="inlineStr">
        <is>
          <t>MJÖLBY</t>
        </is>
      </c>
      <c r="G1682" t="n">
        <v>1.2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s="2" t="inlineStr"/>
    </row>
    <row r="1683" ht="15" customHeight="1">
      <c r="A1683" t="inlineStr">
        <is>
          <t>A 64360-2019</t>
        </is>
      </c>
      <c r="B1683" s="1" t="n">
        <v>43797</v>
      </c>
      <c r="C1683" s="1" t="n">
        <v>45211</v>
      </c>
      <c r="D1683" t="inlineStr">
        <is>
          <t>ÖSTERGÖTLANDS LÄN</t>
        </is>
      </c>
      <c r="E1683" t="inlineStr">
        <is>
          <t>NORRKÖPING</t>
        </is>
      </c>
      <c r="F1683" t="inlineStr">
        <is>
          <t>Kommuner</t>
        </is>
      </c>
      <c r="G1683" t="n">
        <v>1.4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s="2" t="inlineStr"/>
    </row>
    <row r="1684" ht="15" customHeight="1">
      <c r="A1684" t="inlineStr">
        <is>
          <t>A 64234-2019</t>
        </is>
      </c>
      <c r="B1684" s="1" t="n">
        <v>43797</v>
      </c>
      <c r="C1684" s="1" t="n">
        <v>45211</v>
      </c>
      <c r="D1684" t="inlineStr">
        <is>
          <t>ÖSTERGÖTLANDS LÄN</t>
        </is>
      </c>
      <c r="E1684" t="inlineStr">
        <is>
          <t>SÖDERKÖPING</t>
        </is>
      </c>
      <c r="G1684" t="n">
        <v>8.199999999999999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s="2" t="inlineStr"/>
    </row>
    <row r="1685" ht="15" customHeight="1">
      <c r="A1685" t="inlineStr">
        <is>
          <t>A 64447-2019</t>
        </is>
      </c>
      <c r="B1685" s="1" t="n">
        <v>43797</v>
      </c>
      <c r="C1685" s="1" t="n">
        <v>45211</v>
      </c>
      <c r="D1685" t="inlineStr">
        <is>
          <t>ÖSTERGÖTLANDS LÄN</t>
        </is>
      </c>
      <c r="E1685" t="inlineStr">
        <is>
          <t>ÖDESHÖG</t>
        </is>
      </c>
      <c r="G1685" t="n">
        <v>1.5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s="2" t="inlineStr"/>
    </row>
    <row r="1686" ht="15" customHeight="1">
      <c r="A1686" t="inlineStr">
        <is>
          <t>A 64564-2019</t>
        </is>
      </c>
      <c r="B1686" s="1" t="n">
        <v>43798</v>
      </c>
      <c r="C1686" s="1" t="n">
        <v>45211</v>
      </c>
      <c r="D1686" t="inlineStr">
        <is>
          <t>ÖSTERGÖTLANDS LÄN</t>
        </is>
      </c>
      <c r="E1686" t="inlineStr">
        <is>
          <t>MOTALA</t>
        </is>
      </c>
      <c r="G1686" t="n">
        <v>3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s="2" t="inlineStr"/>
    </row>
    <row r="1687" ht="15" customHeight="1">
      <c r="A1687" t="inlineStr">
        <is>
          <t>A 64674-2019</t>
        </is>
      </c>
      <c r="B1687" s="1" t="n">
        <v>43798</v>
      </c>
      <c r="C1687" s="1" t="n">
        <v>45211</v>
      </c>
      <c r="D1687" t="inlineStr">
        <is>
          <t>ÖSTERGÖTLANDS LÄN</t>
        </is>
      </c>
      <c r="E1687" t="inlineStr">
        <is>
          <t>MOTALA</t>
        </is>
      </c>
      <c r="G1687" t="n">
        <v>1.3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s="2" t="inlineStr"/>
    </row>
    <row r="1688" ht="15" customHeight="1">
      <c r="A1688" t="inlineStr">
        <is>
          <t>A 64508-2019</t>
        </is>
      </c>
      <c r="B1688" s="1" t="n">
        <v>43798</v>
      </c>
      <c r="C1688" s="1" t="n">
        <v>45211</v>
      </c>
      <c r="D1688" t="inlineStr">
        <is>
          <t>ÖSTERGÖTLANDS LÄN</t>
        </is>
      </c>
      <c r="E1688" t="inlineStr">
        <is>
          <t>MOTALA</t>
        </is>
      </c>
      <c r="F1688" t="inlineStr">
        <is>
          <t>Sveaskog</t>
        </is>
      </c>
      <c r="G1688" t="n">
        <v>2.9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s="2" t="inlineStr"/>
    </row>
    <row r="1689" ht="15" customHeight="1">
      <c r="A1689" t="inlineStr">
        <is>
          <t>A 64589-2019</t>
        </is>
      </c>
      <c r="B1689" s="1" t="n">
        <v>43798</v>
      </c>
      <c r="C1689" s="1" t="n">
        <v>45211</v>
      </c>
      <c r="D1689" t="inlineStr">
        <is>
          <t>ÖSTERGÖTLANDS LÄN</t>
        </is>
      </c>
      <c r="E1689" t="inlineStr">
        <is>
          <t>MOTALA</t>
        </is>
      </c>
      <c r="G1689" t="n">
        <v>2.3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s="2" t="inlineStr"/>
    </row>
    <row r="1690" ht="15" customHeight="1">
      <c r="A1690" t="inlineStr">
        <is>
          <t>A 64668-2019</t>
        </is>
      </c>
      <c r="B1690" s="1" t="n">
        <v>43798</v>
      </c>
      <c r="C1690" s="1" t="n">
        <v>45211</v>
      </c>
      <c r="D1690" t="inlineStr">
        <is>
          <t>ÖSTERGÖTLANDS LÄN</t>
        </is>
      </c>
      <c r="E1690" t="inlineStr">
        <is>
          <t>FINSPÅNG</t>
        </is>
      </c>
      <c r="F1690" t="inlineStr">
        <is>
          <t>Övriga Aktiebolag</t>
        </is>
      </c>
      <c r="G1690" t="n">
        <v>32.8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s="2" t="inlineStr"/>
    </row>
    <row r="1691" ht="15" customHeight="1">
      <c r="A1691" t="inlineStr">
        <is>
          <t>A 64658-2019</t>
        </is>
      </c>
      <c r="B1691" s="1" t="n">
        <v>43798</v>
      </c>
      <c r="C1691" s="1" t="n">
        <v>45211</v>
      </c>
      <c r="D1691" t="inlineStr">
        <is>
          <t>ÖSTERGÖTLANDS LÄN</t>
        </is>
      </c>
      <c r="E1691" t="inlineStr">
        <is>
          <t>FINSPÅNG</t>
        </is>
      </c>
      <c r="F1691" t="inlineStr">
        <is>
          <t>Övriga Aktiebolag</t>
        </is>
      </c>
      <c r="G1691" t="n">
        <v>35.6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s="2" t="inlineStr"/>
    </row>
    <row r="1692" ht="15" customHeight="1">
      <c r="A1692" t="inlineStr">
        <is>
          <t>A 64731-2019</t>
        </is>
      </c>
      <c r="B1692" s="1" t="n">
        <v>43800</v>
      </c>
      <c r="C1692" s="1" t="n">
        <v>45211</v>
      </c>
      <c r="D1692" t="inlineStr">
        <is>
          <t>ÖSTERGÖTLANDS LÄN</t>
        </is>
      </c>
      <c r="E1692" t="inlineStr">
        <is>
          <t>NORRKÖPING</t>
        </is>
      </c>
      <c r="G1692" t="n">
        <v>2.4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s="2" t="inlineStr"/>
    </row>
    <row r="1693" ht="15" customHeight="1">
      <c r="A1693" t="inlineStr">
        <is>
          <t>A 64734-2019</t>
        </is>
      </c>
      <c r="B1693" s="1" t="n">
        <v>43800</v>
      </c>
      <c r="C1693" s="1" t="n">
        <v>45211</v>
      </c>
      <c r="D1693" t="inlineStr">
        <is>
          <t>ÖSTERGÖTLANDS LÄN</t>
        </is>
      </c>
      <c r="E1693" t="inlineStr">
        <is>
          <t>NORRKÖPING</t>
        </is>
      </c>
      <c r="G1693" t="n">
        <v>3.6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s="2" t="inlineStr"/>
    </row>
    <row r="1694" ht="15" customHeight="1">
      <c r="A1694" t="inlineStr">
        <is>
          <t>A 64815-2019</t>
        </is>
      </c>
      <c r="B1694" s="1" t="n">
        <v>43801</v>
      </c>
      <c r="C1694" s="1" t="n">
        <v>45211</v>
      </c>
      <c r="D1694" t="inlineStr">
        <is>
          <t>ÖSTERGÖTLANDS LÄN</t>
        </is>
      </c>
      <c r="E1694" t="inlineStr">
        <is>
          <t>NORRKÖPING</t>
        </is>
      </c>
      <c r="G1694" t="n">
        <v>0.4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s="2" t="inlineStr"/>
    </row>
    <row r="1695" ht="15" customHeight="1">
      <c r="A1695" t="inlineStr">
        <is>
          <t>A 65015-2019</t>
        </is>
      </c>
      <c r="B1695" s="1" t="n">
        <v>43801</v>
      </c>
      <c r="C1695" s="1" t="n">
        <v>45211</v>
      </c>
      <c r="D1695" t="inlineStr">
        <is>
          <t>ÖSTERGÖTLANDS LÄN</t>
        </is>
      </c>
      <c r="E1695" t="inlineStr">
        <is>
          <t>LINKÖPING</t>
        </is>
      </c>
      <c r="G1695" t="n">
        <v>1.3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s="2" t="inlineStr"/>
    </row>
    <row r="1696" ht="15" customHeight="1">
      <c r="A1696" t="inlineStr">
        <is>
          <t>A 65016-2019</t>
        </is>
      </c>
      <c r="B1696" s="1" t="n">
        <v>43801</v>
      </c>
      <c r="C1696" s="1" t="n">
        <v>45211</v>
      </c>
      <c r="D1696" t="inlineStr">
        <is>
          <t>ÖSTERGÖTLANDS LÄN</t>
        </is>
      </c>
      <c r="E1696" t="inlineStr">
        <is>
          <t>LINKÖPING</t>
        </is>
      </c>
      <c r="G1696" t="n">
        <v>1.4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s="2" t="inlineStr"/>
    </row>
    <row r="1697" ht="15" customHeight="1">
      <c r="A1697" t="inlineStr">
        <is>
          <t>A 65260-2019</t>
        </is>
      </c>
      <c r="B1697" s="1" t="n">
        <v>43802</v>
      </c>
      <c r="C1697" s="1" t="n">
        <v>45211</v>
      </c>
      <c r="D1697" t="inlineStr">
        <is>
          <t>ÖSTERGÖTLANDS LÄN</t>
        </is>
      </c>
      <c r="E1697" t="inlineStr">
        <is>
          <t>MOTALA</t>
        </is>
      </c>
      <c r="F1697" t="inlineStr">
        <is>
          <t>Allmännings- och besparingsskogar</t>
        </is>
      </c>
      <c r="G1697" t="n">
        <v>2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s="2" t="inlineStr"/>
    </row>
    <row r="1698" ht="15" customHeight="1">
      <c r="A1698" t="inlineStr">
        <is>
          <t>A 65276-2019</t>
        </is>
      </c>
      <c r="B1698" s="1" t="n">
        <v>43802</v>
      </c>
      <c r="C1698" s="1" t="n">
        <v>45211</v>
      </c>
      <c r="D1698" t="inlineStr">
        <is>
          <t>ÖSTERGÖTLANDS LÄN</t>
        </is>
      </c>
      <c r="E1698" t="inlineStr">
        <is>
          <t>MOTALA</t>
        </is>
      </c>
      <c r="F1698" t="inlineStr">
        <is>
          <t>Allmännings- och besparingsskogar</t>
        </is>
      </c>
      <c r="G1698" t="n">
        <v>2.5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s="2" t="inlineStr"/>
    </row>
    <row r="1699" ht="15" customHeight="1">
      <c r="A1699" t="inlineStr">
        <is>
          <t>A 65210-2019</t>
        </is>
      </c>
      <c r="B1699" s="1" t="n">
        <v>43802</v>
      </c>
      <c r="C1699" s="1" t="n">
        <v>45211</v>
      </c>
      <c r="D1699" t="inlineStr">
        <is>
          <t>ÖSTERGÖTLANDS LÄN</t>
        </is>
      </c>
      <c r="E1699" t="inlineStr">
        <is>
          <t>LINKÖPING</t>
        </is>
      </c>
      <c r="F1699" t="inlineStr">
        <is>
          <t>Övriga statliga verk och myndigheter</t>
        </is>
      </c>
      <c r="G1699" t="n">
        <v>3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s="2" t="inlineStr"/>
    </row>
    <row r="1700" ht="15" customHeight="1">
      <c r="A1700" t="inlineStr">
        <is>
          <t>A 65254-2019</t>
        </is>
      </c>
      <c r="B1700" s="1" t="n">
        <v>43802</v>
      </c>
      <c r="C1700" s="1" t="n">
        <v>45211</v>
      </c>
      <c r="D1700" t="inlineStr">
        <is>
          <t>ÖSTERGÖTLANDS LÄN</t>
        </is>
      </c>
      <c r="E1700" t="inlineStr">
        <is>
          <t>FINSPÅNG</t>
        </is>
      </c>
      <c r="G1700" t="n">
        <v>3.3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s="2" t="inlineStr"/>
    </row>
    <row r="1701" ht="15" customHeight="1">
      <c r="A1701" t="inlineStr">
        <is>
          <t>A 65282-2019</t>
        </is>
      </c>
      <c r="B1701" s="1" t="n">
        <v>43802</v>
      </c>
      <c r="C1701" s="1" t="n">
        <v>45211</v>
      </c>
      <c r="D1701" t="inlineStr">
        <is>
          <t>ÖSTERGÖTLANDS LÄN</t>
        </is>
      </c>
      <c r="E1701" t="inlineStr">
        <is>
          <t>MOTALA</t>
        </is>
      </c>
      <c r="F1701" t="inlineStr">
        <is>
          <t>Allmännings- och besparingsskogar</t>
        </is>
      </c>
      <c r="G1701" t="n">
        <v>11.9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s="2" t="inlineStr"/>
    </row>
    <row r="1702" ht="15" customHeight="1">
      <c r="A1702" t="inlineStr">
        <is>
          <t>A 65214-2019</t>
        </is>
      </c>
      <c r="B1702" s="1" t="n">
        <v>43802</v>
      </c>
      <c r="C1702" s="1" t="n">
        <v>45211</v>
      </c>
      <c r="D1702" t="inlineStr">
        <is>
          <t>ÖSTERGÖTLANDS LÄN</t>
        </is>
      </c>
      <c r="E1702" t="inlineStr">
        <is>
          <t>LINKÖPING</t>
        </is>
      </c>
      <c r="F1702" t="inlineStr">
        <is>
          <t>Övriga statliga verk och myndigheter</t>
        </is>
      </c>
      <c r="G1702" t="n">
        <v>1.5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s="2" t="inlineStr"/>
    </row>
    <row r="1703" ht="15" customHeight="1">
      <c r="A1703" t="inlineStr">
        <is>
          <t>A 65287-2019</t>
        </is>
      </c>
      <c r="B1703" s="1" t="n">
        <v>43802</v>
      </c>
      <c r="C1703" s="1" t="n">
        <v>45211</v>
      </c>
      <c r="D1703" t="inlineStr">
        <is>
          <t>ÖSTERGÖTLANDS LÄN</t>
        </is>
      </c>
      <c r="E1703" t="inlineStr">
        <is>
          <t>MOTALA</t>
        </is>
      </c>
      <c r="F1703" t="inlineStr">
        <is>
          <t>Allmännings- och besparingsskogar</t>
        </is>
      </c>
      <c r="G1703" t="n">
        <v>7.5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s="2" t="inlineStr"/>
    </row>
    <row r="1704" ht="15" customHeight="1">
      <c r="A1704" t="inlineStr">
        <is>
          <t>A 65538-2019</t>
        </is>
      </c>
      <c r="B1704" s="1" t="n">
        <v>43803</v>
      </c>
      <c r="C1704" s="1" t="n">
        <v>45211</v>
      </c>
      <c r="D1704" t="inlineStr">
        <is>
          <t>ÖSTERGÖTLANDS LÄN</t>
        </is>
      </c>
      <c r="E1704" t="inlineStr">
        <is>
          <t>SÖDERKÖPING</t>
        </is>
      </c>
      <c r="G1704" t="n">
        <v>0.9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s="2" t="inlineStr"/>
    </row>
    <row r="1705" ht="15" customHeight="1">
      <c r="A1705" t="inlineStr">
        <is>
          <t>A 65406-2019</t>
        </is>
      </c>
      <c r="B1705" s="1" t="n">
        <v>43803</v>
      </c>
      <c r="C1705" s="1" t="n">
        <v>45211</v>
      </c>
      <c r="D1705" t="inlineStr">
        <is>
          <t>ÖSTERGÖTLANDS LÄN</t>
        </is>
      </c>
      <c r="E1705" t="inlineStr">
        <is>
          <t>KINDA</t>
        </is>
      </c>
      <c r="G1705" t="n">
        <v>0.9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s="2" t="inlineStr"/>
    </row>
    <row r="1706" ht="15" customHeight="1">
      <c r="A1706" t="inlineStr">
        <is>
          <t>A 65417-2019</t>
        </is>
      </c>
      <c r="B1706" s="1" t="n">
        <v>43803</v>
      </c>
      <c r="C1706" s="1" t="n">
        <v>45211</v>
      </c>
      <c r="D1706" t="inlineStr">
        <is>
          <t>ÖSTERGÖTLANDS LÄN</t>
        </is>
      </c>
      <c r="E1706" t="inlineStr">
        <is>
          <t>BOXHOLM</t>
        </is>
      </c>
      <c r="F1706" t="inlineStr">
        <is>
          <t>Allmännings- och besparingsskogar</t>
        </is>
      </c>
      <c r="G1706" t="n">
        <v>16.3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s="2" t="inlineStr"/>
    </row>
    <row r="1707" ht="15" customHeight="1">
      <c r="A1707" t="inlineStr">
        <is>
          <t>A 65535-2019</t>
        </is>
      </c>
      <c r="B1707" s="1" t="n">
        <v>43803</v>
      </c>
      <c r="C1707" s="1" t="n">
        <v>45211</v>
      </c>
      <c r="D1707" t="inlineStr">
        <is>
          <t>ÖSTERGÖTLANDS LÄN</t>
        </is>
      </c>
      <c r="E1707" t="inlineStr">
        <is>
          <t>LINKÖPING</t>
        </is>
      </c>
      <c r="G1707" t="n">
        <v>2.6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s="2" t="inlineStr"/>
    </row>
    <row r="1708" ht="15" customHeight="1">
      <c r="A1708" t="inlineStr">
        <is>
          <t>A 65694-2019</t>
        </is>
      </c>
      <c r="B1708" s="1" t="n">
        <v>43804</v>
      </c>
      <c r="C1708" s="1" t="n">
        <v>45211</v>
      </c>
      <c r="D1708" t="inlineStr">
        <is>
          <t>ÖSTERGÖTLANDS LÄN</t>
        </is>
      </c>
      <c r="E1708" t="inlineStr">
        <is>
          <t>FINSPÅNG</t>
        </is>
      </c>
      <c r="G1708" t="n">
        <v>0.6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s="2" t="inlineStr"/>
    </row>
    <row r="1709" ht="15" customHeight="1">
      <c r="A1709" t="inlineStr">
        <is>
          <t>A 65740-2019</t>
        </is>
      </c>
      <c r="B1709" s="1" t="n">
        <v>43804</v>
      </c>
      <c r="C1709" s="1" t="n">
        <v>45211</v>
      </c>
      <c r="D1709" t="inlineStr">
        <is>
          <t>ÖSTERGÖTLANDS LÄN</t>
        </is>
      </c>
      <c r="E1709" t="inlineStr">
        <is>
          <t>FINSPÅNG</t>
        </is>
      </c>
      <c r="G1709" t="n">
        <v>1.3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s="2" t="inlineStr"/>
    </row>
    <row r="1710" ht="15" customHeight="1">
      <c r="A1710" t="inlineStr">
        <is>
          <t>A 65656-2019</t>
        </is>
      </c>
      <c r="B1710" s="1" t="n">
        <v>43804</v>
      </c>
      <c r="C1710" s="1" t="n">
        <v>45211</v>
      </c>
      <c r="D1710" t="inlineStr">
        <is>
          <t>ÖSTERGÖTLANDS LÄN</t>
        </is>
      </c>
      <c r="E1710" t="inlineStr">
        <is>
          <t>MJÖLBY</t>
        </is>
      </c>
      <c r="G1710" t="n">
        <v>3.5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s="2" t="inlineStr"/>
    </row>
    <row r="1711" ht="15" customHeight="1">
      <c r="A1711" t="inlineStr">
        <is>
          <t>A 66006-2019</t>
        </is>
      </c>
      <c r="B1711" s="1" t="n">
        <v>43805</v>
      </c>
      <c r="C1711" s="1" t="n">
        <v>45211</v>
      </c>
      <c r="D1711" t="inlineStr">
        <is>
          <t>ÖSTERGÖTLANDS LÄN</t>
        </is>
      </c>
      <c r="E1711" t="inlineStr">
        <is>
          <t>FINSPÅNG</t>
        </is>
      </c>
      <c r="F1711" t="inlineStr">
        <is>
          <t>Holmen skog AB</t>
        </is>
      </c>
      <c r="G1711" t="n">
        <v>0.6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s="2" t="inlineStr"/>
    </row>
    <row r="1712" ht="15" customHeight="1">
      <c r="A1712" t="inlineStr">
        <is>
          <t>A 66996-2019</t>
        </is>
      </c>
      <c r="B1712" s="1" t="n">
        <v>43805</v>
      </c>
      <c r="C1712" s="1" t="n">
        <v>45211</v>
      </c>
      <c r="D1712" t="inlineStr">
        <is>
          <t>ÖSTERGÖTLANDS LÄN</t>
        </is>
      </c>
      <c r="E1712" t="inlineStr">
        <is>
          <t>NORRKÖPING</t>
        </is>
      </c>
      <c r="G1712" t="n">
        <v>2.6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s="2" t="inlineStr"/>
    </row>
    <row r="1713" ht="15" customHeight="1">
      <c r="A1713" t="inlineStr">
        <is>
          <t>A 65874-2019</t>
        </is>
      </c>
      <c r="B1713" s="1" t="n">
        <v>43805</v>
      </c>
      <c r="C1713" s="1" t="n">
        <v>45211</v>
      </c>
      <c r="D1713" t="inlineStr">
        <is>
          <t>ÖSTERGÖTLANDS LÄN</t>
        </is>
      </c>
      <c r="E1713" t="inlineStr">
        <is>
          <t>YDRE</t>
        </is>
      </c>
      <c r="G1713" t="n">
        <v>1.2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s="2" t="inlineStr"/>
    </row>
    <row r="1714" ht="15" customHeight="1">
      <c r="A1714" t="inlineStr">
        <is>
          <t>A 65891-2019</t>
        </is>
      </c>
      <c r="B1714" s="1" t="n">
        <v>43805</v>
      </c>
      <c r="C1714" s="1" t="n">
        <v>45211</v>
      </c>
      <c r="D1714" t="inlineStr">
        <is>
          <t>ÖSTERGÖTLANDS LÄN</t>
        </is>
      </c>
      <c r="E1714" t="inlineStr">
        <is>
          <t>MOTALA</t>
        </is>
      </c>
      <c r="G1714" t="n">
        <v>1.3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s="2" t="inlineStr"/>
    </row>
    <row r="1715" ht="15" customHeight="1">
      <c r="A1715" t="inlineStr">
        <is>
          <t>A 66077-2019</t>
        </is>
      </c>
      <c r="B1715" s="1" t="n">
        <v>43807</v>
      </c>
      <c r="C1715" s="1" t="n">
        <v>45211</v>
      </c>
      <c r="D1715" t="inlineStr">
        <is>
          <t>ÖSTERGÖTLANDS LÄN</t>
        </is>
      </c>
      <c r="E1715" t="inlineStr">
        <is>
          <t>SÖDERKÖPING</t>
        </is>
      </c>
      <c r="G1715" t="n">
        <v>0.8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s="2" t="inlineStr"/>
    </row>
    <row r="1716" ht="15" customHeight="1">
      <c r="A1716" t="inlineStr">
        <is>
          <t>A 66079-2019</t>
        </is>
      </c>
      <c r="B1716" s="1" t="n">
        <v>43807</v>
      </c>
      <c r="C1716" s="1" t="n">
        <v>45211</v>
      </c>
      <c r="D1716" t="inlineStr">
        <is>
          <t>ÖSTERGÖTLANDS LÄN</t>
        </is>
      </c>
      <c r="E1716" t="inlineStr">
        <is>
          <t>ÅTVIDABERG</t>
        </is>
      </c>
      <c r="G1716" t="n">
        <v>1.9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s="2" t="inlineStr"/>
    </row>
    <row r="1717" ht="15" customHeight="1">
      <c r="A1717" t="inlineStr">
        <is>
          <t>A 66176-2019</t>
        </is>
      </c>
      <c r="B1717" s="1" t="n">
        <v>43808</v>
      </c>
      <c r="C1717" s="1" t="n">
        <v>45211</v>
      </c>
      <c r="D1717" t="inlineStr">
        <is>
          <t>ÖSTERGÖTLANDS LÄN</t>
        </is>
      </c>
      <c r="E1717" t="inlineStr">
        <is>
          <t>FINSPÅNG</t>
        </is>
      </c>
      <c r="F1717" t="inlineStr">
        <is>
          <t>Holmen skog AB</t>
        </is>
      </c>
      <c r="G1717" t="n">
        <v>0.5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s="2" t="inlineStr"/>
    </row>
    <row r="1718" ht="15" customHeight="1">
      <c r="A1718" t="inlineStr">
        <is>
          <t>A 66364-2019</t>
        </is>
      </c>
      <c r="B1718" s="1" t="n">
        <v>43808</v>
      </c>
      <c r="C1718" s="1" t="n">
        <v>45211</v>
      </c>
      <c r="D1718" t="inlineStr">
        <is>
          <t>ÖSTERGÖTLANDS LÄN</t>
        </is>
      </c>
      <c r="E1718" t="inlineStr">
        <is>
          <t>FINSPÅNG</t>
        </is>
      </c>
      <c r="G1718" t="n">
        <v>0.5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s="2" t="inlineStr"/>
    </row>
    <row r="1719" ht="15" customHeight="1">
      <c r="A1719" t="inlineStr">
        <is>
          <t>A 66160-2019</t>
        </is>
      </c>
      <c r="B1719" s="1" t="n">
        <v>43808</v>
      </c>
      <c r="C1719" s="1" t="n">
        <v>45211</v>
      </c>
      <c r="D1719" t="inlineStr">
        <is>
          <t>ÖSTERGÖTLANDS LÄN</t>
        </is>
      </c>
      <c r="E1719" t="inlineStr">
        <is>
          <t>YDRE</t>
        </is>
      </c>
      <c r="F1719" t="inlineStr">
        <is>
          <t>Sveaskog</t>
        </is>
      </c>
      <c r="G1719" t="n">
        <v>1.8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s="2" t="inlineStr"/>
    </row>
    <row r="1720" ht="15" customHeight="1">
      <c r="A1720" t="inlineStr">
        <is>
          <t>A 66295-2019</t>
        </is>
      </c>
      <c r="B1720" s="1" t="n">
        <v>43808</v>
      </c>
      <c r="C1720" s="1" t="n">
        <v>45211</v>
      </c>
      <c r="D1720" t="inlineStr">
        <is>
          <t>ÖSTERGÖTLANDS LÄN</t>
        </is>
      </c>
      <c r="E1720" t="inlineStr">
        <is>
          <t>LINKÖPING</t>
        </is>
      </c>
      <c r="G1720" t="n">
        <v>0.5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s="2" t="inlineStr"/>
    </row>
    <row r="1721" ht="15" customHeight="1">
      <c r="A1721" t="inlineStr">
        <is>
          <t>A 66367-2019</t>
        </is>
      </c>
      <c r="B1721" s="1" t="n">
        <v>43808</v>
      </c>
      <c r="C1721" s="1" t="n">
        <v>45211</v>
      </c>
      <c r="D1721" t="inlineStr">
        <is>
          <t>ÖSTERGÖTLANDS LÄN</t>
        </is>
      </c>
      <c r="E1721" t="inlineStr">
        <is>
          <t>FINSPÅNG</t>
        </is>
      </c>
      <c r="G1721" t="n">
        <v>0.7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s="2" t="inlineStr"/>
    </row>
    <row r="1722" ht="15" customHeight="1">
      <c r="A1722" t="inlineStr">
        <is>
          <t>A 66217-2019</t>
        </is>
      </c>
      <c r="B1722" s="1" t="n">
        <v>43808</v>
      </c>
      <c r="C1722" s="1" t="n">
        <v>45211</v>
      </c>
      <c r="D1722" t="inlineStr">
        <is>
          <t>ÖSTERGÖTLANDS LÄN</t>
        </is>
      </c>
      <c r="E1722" t="inlineStr">
        <is>
          <t>MOTALA</t>
        </is>
      </c>
      <c r="F1722" t="inlineStr">
        <is>
          <t>Holmen skog AB</t>
        </is>
      </c>
      <c r="G1722" t="n">
        <v>0.5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s="2" t="inlineStr"/>
    </row>
    <row r="1723" ht="15" customHeight="1">
      <c r="A1723" t="inlineStr">
        <is>
          <t>A 66245-2019</t>
        </is>
      </c>
      <c r="B1723" s="1" t="n">
        <v>43808</v>
      </c>
      <c r="C1723" s="1" t="n">
        <v>45211</v>
      </c>
      <c r="D1723" t="inlineStr">
        <is>
          <t>ÖSTERGÖTLANDS LÄN</t>
        </is>
      </c>
      <c r="E1723" t="inlineStr">
        <is>
          <t>NORRKÖPING</t>
        </is>
      </c>
      <c r="G1723" t="n">
        <v>2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s="2" t="inlineStr"/>
    </row>
    <row r="1724" ht="15" customHeight="1">
      <c r="A1724" t="inlineStr">
        <is>
          <t>A 66671-2019</t>
        </is>
      </c>
      <c r="B1724" s="1" t="n">
        <v>43809</v>
      </c>
      <c r="C1724" s="1" t="n">
        <v>45211</v>
      </c>
      <c r="D1724" t="inlineStr">
        <is>
          <t>ÖSTERGÖTLANDS LÄN</t>
        </is>
      </c>
      <c r="E1724" t="inlineStr">
        <is>
          <t>FINSPÅNG</t>
        </is>
      </c>
      <c r="F1724" t="inlineStr">
        <is>
          <t>Övriga Aktiebolag</t>
        </is>
      </c>
      <c r="G1724" t="n">
        <v>14.8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s="2" t="inlineStr"/>
    </row>
    <row r="1725" ht="15" customHeight="1">
      <c r="A1725" t="inlineStr">
        <is>
          <t>A 68428-2019</t>
        </is>
      </c>
      <c r="B1725" s="1" t="n">
        <v>43809</v>
      </c>
      <c r="C1725" s="1" t="n">
        <v>45211</v>
      </c>
      <c r="D1725" t="inlineStr">
        <is>
          <t>ÖSTERGÖTLANDS LÄN</t>
        </is>
      </c>
      <c r="E1725" t="inlineStr">
        <is>
          <t>NORRKÖPING</t>
        </is>
      </c>
      <c r="G1725" t="n">
        <v>3.7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s="2" t="inlineStr"/>
    </row>
    <row r="1726" ht="15" customHeight="1">
      <c r="A1726" t="inlineStr">
        <is>
          <t>A 66448-2019</t>
        </is>
      </c>
      <c r="B1726" s="1" t="n">
        <v>43809</v>
      </c>
      <c r="C1726" s="1" t="n">
        <v>45211</v>
      </c>
      <c r="D1726" t="inlineStr">
        <is>
          <t>ÖSTERGÖTLANDS LÄN</t>
        </is>
      </c>
      <c r="E1726" t="inlineStr">
        <is>
          <t>KINDA</t>
        </is>
      </c>
      <c r="G1726" t="n">
        <v>2.5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s="2" t="inlineStr"/>
    </row>
    <row r="1727" ht="15" customHeight="1">
      <c r="A1727" t="inlineStr">
        <is>
          <t>A 66717-2019</t>
        </is>
      </c>
      <c r="B1727" s="1" t="n">
        <v>43810</v>
      </c>
      <c r="C1727" s="1" t="n">
        <v>45211</v>
      </c>
      <c r="D1727" t="inlineStr">
        <is>
          <t>ÖSTERGÖTLANDS LÄN</t>
        </is>
      </c>
      <c r="E1727" t="inlineStr">
        <is>
          <t>FINSPÅNG</t>
        </is>
      </c>
      <c r="G1727" t="n">
        <v>3.4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s="2" t="inlineStr"/>
    </row>
    <row r="1728" ht="15" customHeight="1">
      <c r="A1728" t="inlineStr">
        <is>
          <t>A 66925-2019</t>
        </is>
      </c>
      <c r="B1728" s="1" t="n">
        <v>43810</v>
      </c>
      <c r="C1728" s="1" t="n">
        <v>45211</v>
      </c>
      <c r="D1728" t="inlineStr">
        <is>
          <t>ÖSTERGÖTLANDS LÄN</t>
        </is>
      </c>
      <c r="E1728" t="inlineStr">
        <is>
          <t>LINKÖPING</t>
        </is>
      </c>
      <c r="G1728" t="n">
        <v>0.8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s="2" t="inlineStr"/>
    </row>
    <row r="1729" ht="15" customHeight="1">
      <c r="A1729" t="inlineStr">
        <is>
          <t>A 66957-2019</t>
        </is>
      </c>
      <c r="B1729" s="1" t="n">
        <v>43810</v>
      </c>
      <c r="C1729" s="1" t="n">
        <v>45211</v>
      </c>
      <c r="D1729" t="inlineStr">
        <is>
          <t>ÖSTERGÖTLANDS LÄN</t>
        </is>
      </c>
      <c r="E1729" t="inlineStr">
        <is>
          <t>LINKÖPING</t>
        </is>
      </c>
      <c r="G1729" t="n">
        <v>0.7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s="2" t="inlineStr"/>
    </row>
    <row r="1730" ht="15" customHeight="1">
      <c r="A1730" t="inlineStr">
        <is>
          <t>A 66958-2019</t>
        </is>
      </c>
      <c r="B1730" s="1" t="n">
        <v>43810</v>
      </c>
      <c r="C1730" s="1" t="n">
        <v>45211</v>
      </c>
      <c r="D1730" t="inlineStr">
        <is>
          <t>ÖSTERGÖTLANDS LÄN</t>
        </is>
      </c>
      <c r="E1730" t="inlineStr">
        <is>
          <t>LINKÖPING</t>
        </is>
      </c>
      <c r="G1730" t="n">
        <v>0.9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s="2" t="inlineStr"/>
    </row>
    <row r="1731" ht="15" customHeight="1">
      <c r="A1731" t="inlineStr">
        <is>
          <t>A 67001-2019</t>
        </is>
      </c>
      <c r="B1731" s="1" t="n">
        <v>43811</v>
      </c>
      <c r="C1731" s="1" t="n">
        <v>45211</v>
      </c>
      <c r="D1731" t="inlineStr">
        <is>
          <t>ÖSTERGÖTLANDS LÄN</t>
        </is>
      </c>
      <c r="E1731" t="inlineStr">
        <is>
          <t>YDRE</t>
        </is>
      </c>
      <c r="F1731" t="inlineStr">
        <is>
          <t>Sveaskog</t>
        </is>
      </c>
      <c r="G1731" t="n">
        <v>0.8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s="2" t="inlineStr"/>
    </row>
    <row r="1732" ht="15" customHeight="1">
      <c r="A1732" t="inlineStr">
        <is>
          <t>A 67090-2019</t>
        </is>
      </c>
      <c r="B1732" s="1" t="n">
        <v>43811</v>
      </c>
      <c r="C1732" s="1" t="n">
        <v>45211</v>
      </c>
      <c r="D1732" t="inlineStr">
        <is>
          <t>ÖSTERGÖTLANDS LÄN</t>
        </is>
      </c>
      <c r="E1732" t="inlineStr">
        <is>
          <t>NORRKÖPING</t>
        </is>
      </c>
      <c r="F1732" t="inlineStr">
        <is>
          <t>Holmen skog AB</t>
        </is>
      </c>
      <c r="G1732" t="n">
        <v>2.4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s="2" t="inlineStr"/>
    </row>
    <row r="1733" ht="15" customHeight="1">
      <c r="A1733" t="inlineStr">
        <is>
          <t>A 67206-2019</t>
        </is>
      </c>
      <c r="B1733" s="1" t="n">
        <v>43811</v>
      </c>
      <c r="C1733" s="1" t="n">
        <v>45211</v>
      </c>
      <c r="D1733" t="inlineStr">
        <is>
          <t>ÖSTERGÖTLANDS LÄN</t>
        </is>
      </c>
      <c r="E1733" t="inlineStr">
        <is>
          <t>LINKÖPING</t>
        </is>
      </c>
      <c r="F1733" t="inlineStr">
        <is>
          <t>Övriga Aktiebolag</t>
        </is>
      </c>
      <c r="G1733" t="n">
        <v>0.7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s="2" t="inlineStr"/>
    </row>
    <row r="1734" ht="15" customHeight="1">
      <c r="A1734" t="inlineStr">
        <is>
          <t>A 67077-2019</t>
        </is>
      </c>
      <c r="B1734" s="1" t="n">
        <v>43811</v>
      </c>
      <c r="C1734" s="1" t="n">
        <v>45211</v>
      </c>
      <c r="D1734" t="inlineStr">
        <is>
          <t>ÖSTERGÖTLANDS LÄN</t>
        </is>
      </c>
      <c r="E1734" t="inlineStr">
        <is>
          <t>ÅTVIDABERG</t>
        </is>
      </c>
      <c r="G1734" t="n">
        <v>0.4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s="2" t="inlineStr"/>
    </row>
    <row r="1735" ht="15" customHeight="1">
      <c r="A1735" t="inlineStr">
        <is>
          <t>A 67959-2019</t>
        </is>
      </c>
      <c r="B1735" s="1" t="n">
        <v>43811</v>
      </c>
      <c r="C1735" s="1" t="n">
        <v>45211</v>
      </c>
      <c r="D1735" t="inlineStr">
        <is>
          <t>ÖSTERGÖTLANDS LÄN</t>
        </is>
      </c>
      <c r="E1735" t="inlineStr">
        <is>
          <t>KINDA</t>
        </is>
      </c>
      <c r="G1735" t="n">
        <v>3.1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s="2" t="inlineStr"/>
    </row>
    <row r="1736" ht="15" customHeight="1">
      <c r="A1736" t="inlineStr">
        <is>
          <t>A 67157-2019</t>
        </is>
      </c>
      <c r="B1736" s="1" t="n">
        <v>43811</v>
      </c>
      <c r="C1736" s="1" t="n">
        <v>45211</v>
      </c>
      <c r="D1736" t="inlineStr">
        <is>
          <t>ÖSTERGÖTLANDS LÄN</t>
        </is>
      </c>
      <c r="E1736" t="inlineStr">
        <is>
          <t>MOTALA</t>
        </is>
      </c>
      <c r="G1736" t="n">
        <v>0.9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s="2" t="inlineStr"/>
    </row>
    <row r="1737" ht="15" customHeight="1">
      <c r="A1737" t="inlineStr">
        <is>
          <t>A 67451-2019</t>
        </is>
      </c>
      <c r="B1737" s="1" t="n">
        <v>43812</v>
      </c>
      <c r="C1737" s="1" t="n">
        <v>45211</v>
      </c>
      <c r="D1737" t="inlineStr">
        <is>
          <t>ÖSTERGÖTLANDS LÄN</t>
        </is>
      </c>
      <c r="E1737" t="inlineStr">
        <is>
          <t>NORRKÖPING</t>
        </is>
      </c>
      <c r="G1737" t="n">
        <v>0.5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s="2" t="inlineStr"/>
    </row>
    <row r="1738" ht="15" customHeight="1">
      <c r="A1738" t="inlineStr">
        <is>
          <t>A 67444-2019</t>
        </is>
      </c>
      <c r="B1738" s="1" t="n">
        <v>43812</v>
      </c>
      <c r="C1738" s="1" t="n">
        <v>45211</v>
      </c>
      <c r="D1738" t="inlineStr">
        <is>
          <t>ÖSTERGÖTLANDS LÄN</t>
        </is>
      </c>
      <c r="E1738" t="inlineStr">
        <is>
          <t>MOTALA</t>
        </is>
      </c>
      <c r="G1738" t="n">
        <v>1.1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s="2" t="inlineStr"/>
    </row>
    <row r="1739" ht="15" customHeight="1">
      <c r="A1739" t="inlineStr">
        <is>
          <t>A 67452-2019</t>
        </is>
      </c>
      <c r="B1739" s="1" t="n">
        <v>43812</v>
      </c>
      <c r="C1739" s="1" t="n">
        <v>45211</v>
      </c>
      <c r="D1739" t="inlineStr">
        <is>
          <t>ÖSTERGÖTLANDS LÄN</t>
        </is>
      </c>
      <c r="E1739" t="inlineStr">
        <is>
          <t>NORRKÖPING</t>
        </is>
      </c>
      <c r="G1739" t="n">
        <v>0.5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s="2" t="inlineStr"/>
    </row>
    <row r="1740" ht="15" customHeight="1">
      <c r="A1740" t="inlineStr">
        <is>
          <t>A 67383-2019</t>
        </is>
      </c>
      <c r="B1740" s="1" t="n">
        <v>43812</v>
      </c>
      <c r="C1740" s="1" t="n">
        <v>45211</v>
      </c>
      <c r="D1740" t="inlineStr">
        <is>
          <t>ÖSTERGÖTLANDS LÄN</t>
        </is>
      </c>
      <c r="E1740" t="inlineStr">
        <is>
          <t>FINSPÅNG</t>
        </is>
      </c>
      <c r="G1740" t="n">
        <v>3.2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s="2" t="inlineStr"/>
    </row>
    <row r="1741" ht="15" customHeight="1">
      <c r="A1741" t="inlineStr">
        <is>
          <t>A 67446-2019</t>
        </is>
      </c>
      <c r="B1741" s="1" t="n">
        <v>43812</v>
      </c>
      <c r="C1741" s="1" t="n">
        <v>45211</v>
      </c>
      <c r="D1741" t="inlineStr">
        <is>
          <t>ÖSTERGÖTLANDS LÄN</t>
        </is>
      </c>
      <c r="E1741" t="inlineStr">
        <is>
          <t>YDRE</t>
        </is>
      </c>
      <c r="G1741" t="n">
        <v>2.1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s="2" t="inlineStr"/>
    </row>
    <row r="1742" ht="15" customHeight="1">
      <c r="A1742" t="inlineStr">
        <is>
          <t>A 67478-2019</t>
        </is>
      </c>
      <c r="B1742" s="1" t="n">
        <v>43814</v>
      </c>
      <c r="C1742" s="1" t="n">
        <v>45211</v>
      </c>
      <c r="D1742" t="inlineStr">
        <is>
          <t>ÖSTERGÖTLANDS LÄN</t>
        </is>
      </c>
      <c r="E1742" t="inlineStr">
        <is>
          <t>VALDEMARSVIK</t>
        </is>
      </c>
      <c r="G1742" t="n">
        <v>5.9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s="2" t="inlineStr"/>
    </row>
    <row r="1743" ht="15" customHeight="1">
      <c r="A1743" t="inlineStr">
        <is>
          <t>A 67473-2019</t>
        </is>
      </c>
      <c r="B1743" s="1" t="n">
        <v>43814</v>
      </c>
      <c r="C1743" s="1" t="n">
        <v>45211</v>
      </c>
      <c r="D1743" t="inlineStr">
        <is>
          <t>ÖSTERGÖTLANDS LÄN</t>
        </is>
      </c>
      <c r="E1743" t="inlineStr">
        <is>
          <t>BOXHOLM</t>
        </is>
      </c>
      <c r="G1743" t="n">
        <v>2.1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s="2" t="inlineStr"/>
    </row>
    <row r="1744" ht="15" customHeight="1">
      <c r="A1744" t="inlineStr">
        <is>
          <t>A 67621-2019</t>
        </is>
      </c>
      <c r="B1744" s="1" t="n">
        <v>43815</v>
      </c>
      <c r="C1744" s="1" t="n">
        <v>45211</v>
      </c>
      <c r="D1744" t="inlineStr">
        <is>
          <t>ÖSTERGÖTLANDS LÄN</t>
        </is>
      </c>
      <c r="E1744" t="inlineStr">
        <is>
          <t>MJÖLBY</t>
        </is>
      </c>
      <c r="G1744" t="n">
        <v>1.8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s="2" t="inlineStr"/>
    </row>
    <row r="1745" ht="15" customHeight="1">
      <c r="A1745" t="inlineStr">
        <is>
          <t>A 67498-2019</t>
        </is>
      </c>
      <c r="B1745" s="1" t="n">
        <v>43815</v>
      </c>
      <c r="C1745" s="1" t="n">
        <v>45211</v>
      </c>
      <c r="D1745" t="inlineStr">
        <is>
          <t>ÖSTERGÖTLANDS LÄN</t>
        </is>
      </c>
      <c r="E1745" t="inlineStr">
        <is>
          <t>FINSPÅNG</t>
        </is>
      </c>
      <c r="G1745" t="n">
        <v>1.3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s="2" t="inlineStr"/>
    </row>
    <row r="1746" ht="15" customHeight="1">
      <c r="A1746" t="inlineStr">
        <is>
          <t>A 67792-2019</t>
        </is>
      </c>
      <c r="B1746" s="1" t="n">
        <v>43815</v>
      </c>
      <c r="C1746" s="1" t="n">
        <v>45211</v>
      </c>
      <c r="D1746" t="inlineStr">
        <is>
          <t>ÖSTERGÖTLANDS LÄN</t>
        </is>
      </c>
      <c r="E1746" t="inlineStr">
        <is>
          <t>ÅTVIDABERG</t>
        </is>
      </c>
      <c r="G1746" t="n">
        <v>2.2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s="2" t="inlineStr"/>
    </row>
    <row r="1747" ht="15" customHeight="1">
      <c r="A1747" t="inlineStr">
        <is>
          <t>A 67778-2019</t>
        </is>
      </c>
      <c r="B1747" s="1" t="n">
        <v>43815</v>
      </c>
      <c r="C1747" s="1" t="n">
        <v>45211</v>
      </c>
      <c r="D1747" t="inlineStr">
        <is>
          <t>ÖSTERGÖTLANDS LÄN</t>
        </is>
      </c>
      <c r="E1747" t="inlineStr">
        <is>
          <t>VALDEMARSVIK</t>
        </is>
      </c>
      <c r="G1747" t="n">
        <v>2.1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s="2" t="inlineStr"/>
    </row>
    <row r="1748" ht="15" customHeight="1">
      <c r="A1748" t="inlineStr">
        <is>
          <t>A 68058-2019</t>
        </is>
      </c>
      <c r="B1748" s="1" t="n">
        <v>43816</v>
      </c>
      <c r="C1748" s="1" t="n">
        <v>45211</v>
      </c>
      <c r="D1748" t="inlineStr">
        <is>
          <t>ÖSTERGÖTLANDS LÄN</t>
        </is>
      </c>
      <c r="E1748" t="inlineStr">
        <is>
          <t>MOTALA</t>
        </is>
      </c>
      <c r="G1748" t="n">
        <v>3.2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s="2" t="inlineStr"/>
    </row>
    <row r="1749" ht="15" customHeight="1">
      <c r="A1749" t="inlineStr">
        <is>
          <t>A 67969-2019</t>
        </is>
      </c>
      <c r="B1749" s="1" t="n">
        <v>43816</v>
      </c>
      <c r="C1749" s="1" t="n">
        <v>45211</v>
      </c>
      <c r="D1749" t="inlineStr">
        <is>
          <t>ÖSTERGÖTLANDS LÄN</t>
        </is>
      </c>
      <c r="E1749" t="inlineStr">
        <is>
          <t>LINKÖPING</t>
        </is>
      </c>
      <c r="G1749" t="n">
        <v>1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s="2" t="inlineStr"/>
    </row>
    <row r="1750" ht="15" customHeight="1">
      <c r="A1750" t="inlineStr">
        <is>
          <t>A 68031-2019</t>
        </is>
      </c>
      <c r="B1750" s="1" t="n">
        <v>43816</v>
      </c>
      <c r="C1750" s="1" t="n">
        <v>45211</v>
      </c>
      <c r="D1750" t="inlineStr">
        <is>
          <t>ÖSTERGÖTLANDS LÄN</t>
        </is>
      </c>
      <c r="E1750" t="inlineStr">
        <is>
          <t>ÅTVIDABERG</t>
        </is>
      </c>
      <c r="F1750" t="inlineStr">
        <is>
          <t>Övriga Aktiebolag</t>
        </is>
      </c>
      <c r="G1750" t="n">
        <v>2.4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s="2" t="inlineStr"/>
    </row>
    <row r="1751" ht="15" customHeight="1">
      <c r="A1751" t="inlineStr">
        <is>
          <t>A 68057-2019</t>
        </is>
      </c>
      <c r="B1751" s="1" t="n">
        <v>43816</v>
      </c>
      <c r="C1751" s="1" t="n">
        <v>45211</v>
      </c>
      <c r="D1751" t="inlineStr">
        <is>
          <t>ÖSTERGÖTLANDS LÄN</t>
        </is>
      </c>
      <c r="E1751" t="inlineStr">
        <is>
          <t>MOTALA</t>
        </is>
      </c>
      <c r="G1751" t="n">
        <v>6.6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s="2" t="inlineStr"/>
    </row>
    <row r="1752" ht="15" customHeight="1">
      <c r="A1752" t="inlineStr">
        <is>
          <t>A 731-2020</t>
        </is>
      </c>
      <c r="B1752" s="1" t="n">
        <v>43817</v>
      </c>
      <c r="C1752" s="1" t="n">
        <v>45211</v>
      </c>
      <c r="D1752" t="inlineStr">
        <is>
          <t>ÖSTERGÖTLANDS LÄN</t>
        </is>
      </c>
      <c r="E1752" t="inlineStr">
        <is>
          <t>VALDEMARSVIK</t>
        </is>
      </c>
      <c r="G1752" t="n">
        <v>3.5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s="2" t="inlineStr"/>
    </row>
    <row r="1753" ht="15" customHeight="1">
      <c r="A1753" t="inlineStr">
        <is>
          <t>A 741-2020</t>
        </is>
      </c>
      <c r="B1753" s="1" t="n">
        <v>43817</v>
      </c>
      <c r="C1753" s="1" t="n">
        <v>45211</v>
      </c>
      <c r="D1753" t="inlineStr">
        <is>
          <t>ÖSTERGÖTLANDS LÄN</t>
        </is>
      </c>
      <c r="E1753" t="inlineStr">
        <is>
          <t>VALDEMARSVIK</t>
        </is>
      </c>
      <c r="G1753" t="n">
        <v>10.7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s="2" t="inlineStr"/>
    </row>
    <row r="1754" ht="15" customHeight="1">
      <c r="A1754" t="inlineStr">
        <is>
          <t>A 68241-2019</t>
        </is>
      </c>
      <c r="B1754" s="1" t="n">
        <v>43817</v>
      </c>
      <c r="C1754" s="1" t="n">
        <v>45211</v>
      </c>
      <c r="D1754" t="inlineStr">
        <is>
          <t>ÖSTERGÖTLANDS LÄN</t>
        </is>
      </c>
      <c r="E1754" t="inlineStr">
        <is>
          <t>ÅTVIDABERG</t>
        </is>
      </c>
      <c r="F1754" t="inlineStr">
        <is>
          <t>Övriga Aktiebolag</t>
        </is>
      </c>
      <c r="G1754" t="n">
        <v>0.8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s="2" t="inlineStr"/>
    </row>
    <row r="1755" ht="15" customHeight="1">
      <c r="A1755" t="inlineStr">
        <is>
          <t>A 68274-2019</t>
        </is>
      </c>
      <c r="B1755" s="1" t="n">
        <v>43817</v>
      </c>
      <c r="C1755" s="1" t="n">
        <v>45211</v>
      </c>
      <c r="D1755" t="inlineStr">
        <is>
          <t>ÖSTERGÖTLANDS LÄN</t>
        </is>
      </c>
      <c r="E1755" t="inlineStr">
        <is>
          <t>LINKÖPING</t>
        </is>
      </c>
      <c r="G1755" t="n">
        <v>2.9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s="2" t="inlineStr"/>
    </row>
    <row r="1756" ht="15" customHeight="1">
      <c r="A1756" t="inlineStr">
        <is>
          <t>A 68395-2019</t>
        </is>
      </c>
      <c r="B1756" s="1" t="n">
        <v>43818</v>
      </c>
      <c r="C1756" s="1" t="n">
        <v>45211</v>
      </c>
      <c r="D1756" t="inlineStr">
        <is>
          <t>ÖSTERGÖTLANDS LÄN</t>
        </is>
      </c>
      <c r="E1756" t="inlineStr">
        <is>
          <t>VALDEMARSVIK</t>
        </is>
      </c>
      <c r="G1756" t="n">
        <v>1.4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s="2" t="inlineStr"/>
    </row>
    <row r="1757" ht="15" customHeight="1">
      <c r="A1757" t="inlineStr">
        <is>
          <t>A 68465-2019</t>
        </is>
      </c>
      <c r="B1757" s="1" t="n">
        <v>43818</v>
      </c>
      <c r="C1757" s="1" t="n">
        <v>45211</v>
      </c>
      <c r="D1757" t="inlineStr">
        <is>
          <t>ÖSTERGÖTLANDS LÄN</t>
        </is>
      </c>
      <c r="E1757" t="inlineStr">
        <is>
          <t>NORRKÖPING</t>
        </is>
      </c>
      <c r="G1757" t="n">
        <v>0.7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s="2" t="inlineStr"/>
    </row>
    <row r="1758" ht="15" customHeight="1">
      <c r="A1758" t="inlineStr">
        <is>
          <t>A 68453-2019</t>
        </is>
      </c>
      <c r="B1758" s="1" t="n">
        <v>43818</v>
      </c>
      <c r="C1758" s="1" t="n">
        <v>45211</v>
      </c>
      <c r="D1758" t="inlineStr">
        <is>
          <t>ÖSTERGÖTLANDS LÄN</t>
        </is>
      </c>
      <c r="E1758" t="inlineStr">
        <is>
          <t>FINSPÅNG</t>
        </is>
      </c>
      <c r="G1758" t="n">
        <v>3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s="2" t="inlineStr"/>
    </row>
    <row r="1759" ht="15" customHeight="1">
      <c r="A1759" t="inlineStr">
        <is>
          <t>A 68388-2019</t>
        </is>
      </c>
      <c r="B1759" s="1" t="n">
        <v>43818</v>
      </c>
      <c r="C1759" s="1" t="n">
        <v>45211</v>
      </c>
      <c r="D1759" t="inlineStr">
        <is>
          <t>ÖSTERGÖTLANDS LÄN</t>
        </is>
      </c>
      <c r="E1759" t="inlineStr">
        <is>
          <t>LINKÖPING</t>
        </is>
      </c>
      <c r="G1759" t="n">
        <v>2.4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s="2" t="inlineStr"/>
    </row>
    <row r="1760" ht="15" customHeight="1">
      <c r="A1760" t="inlineStr">
        <is>
          <t>A 68885-2019</t>
        </is>
      </c>
      <c r="B1760" s="1" t="n">
        <v>43821</v>
      </c>
      <c r="C1760" s="1" t="n">
        <v>45211</v>
      </c>
      <c r="D1760" t="inlineStr">
        <is>
          <t>ÖSTERGÖTLANDS LÄN</t>
        </is>
      </c>
      <c r="E1760" t="inlineStr">
        <is>
          <t>VALDEMARSVIK</t>
        </is>
      </c>
      <c r="G1760" t="n">
        <v>0.9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s="2" t="inlineStr"/>
    </row>
    <row r="1761" ht="15" customHeight="1">
      <c r="A1761" t="inlineStr">
        <is>
          <t>A 68886-2019</t>
        </is>
      </c>
      <c r="B1761" s="1" t="n">
        <v>43821</v>
      </c>
      <c r="C1761" s="1" t="n">
        <v>45211</v>
      </c>
      <c r="D1761" t="inlineStr">
        <is>
          <t>ÖSTERGÖTLANDS LÄN</t>
        </is>
      </c>
      <c r="E1761" t="inlineStr">
        <is>
          <t>VALDEMARSVIK</t>
        </is>
      </c>
      <c r="G1761" t="n">
        <v>1.8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s="2" t="inlineStr"/>
    </row>
    <row r="1762" ht="15" customHeight="1">
      <c r="A1762" t="inlineStr">
        <is>
          <t>A 68926-2019</t>
        </is>
      </c>
      <c r="B1762" s="1" t="n">
        <v>43822</v>
      </c>
      <c r="C1762" s="1" t="n">
        <v>45211</v>
      </c>
      <c r="D1762" t="inlineStr">
        <is>
          <t>ÖSTERGÖTLANDS LÄN</t>
        </is>
      </c>
      <c r="E1762" t="inlineStr">
        <is>
          <t>ÖDESHÖG</t>
        </is>
      </c>
      <c r="G1762" t="n">
        <v>10.3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s="2" t="inlineStr"/>
    </row>
    <row r="1763" ht="15" customHeight="1">
      <c r="A1763" t="inlineStr">
        <is>
          <t>A 68992-2019</t>
        </is>
      </c>
      <c r="B1763" s="1" t="n">
        <v>43822</v>
      </c>
      <c r="C1763" s="1" t="n">
        <v>45211</v>
      </c>
      <c r="D1763" t="inlineStr">
        <is>
          <t>ÖSTERGÖTLANDS LÄN</t>
        </is>
      </c>
      <c r="E1763" t="inlineStr">
        <is>
          <t>FINSPÅNG</t>
        </is>
      </c>
      <c r="G1763" t="n">
        <v>4.7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s="2" t="inlineStr"/>
    </row>
    <row r="1764" ht="15" customHeight="1">
      <c r="A1764" t="inlineStr">
        <is>
          <t>A 68983-2019</t>
        </is>
      </c>
      <c r="B1764" s="1" t="n">
        <v>43825</v>
      </c>
      <c r="C1764" s="1" t="n">
        <v>45211</v>
      </c>
      <c r="D1764" t="inlineStr">
        <is>
          <t>ÖSTERGÖTLANDS LÄN</t>
        </is>
      </c>
      <c r="E1764" t="inlineStr">
        <is>
          <t>LINKÖPING</t>
        </is>
      </c>
      <c r="G1764" t="n">
        <v>8.6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s="2" t="inlineStr"/>
    </row>
    <row r="1765" ht="15" customHeight="1">
      <c r="A1765" t="inlineStr">
        <is>
          <t>A 68987-2019</t>
        </is>
      </c>
      <c r="B1765" s="1" t="n">
        <v>43825</v>
      </c>
      <c r="C1765" s="1" t="n">
        <v>45211</v>
      </c>
      <c r="D1765" t="inlineStr">
        <is>
          <t>ÖSTERGÖTLANDS LÄN</t>
        </is>
      </c>
      <c r="E1765" t="inlineStr">
        <is>
          <t>FINSPÅNG</t>
        </is>
      </c>
      <c r="F1765" t="inlineStr">
        <is>
          <t>Övriga Aktiebolag</t>
        </is>
      </c>
      <c r="G1765" t="n">
        <v>1.6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s="2" t="inlineStr"/>
    </row>
    <row r="1766" ht="15" customHeight="1">
      <c r="A1766" t="inlineStr">
        <is>
          <t>A 69103-2019</t>
        </is>
      </c>
      <c r="B1766" s="1" t="n">
        <v>43826</v>
      </c>
      <c r="C1766" s="1" t="n">
        <v>45211</v>
      </c>
      <c r="D1766" t="inlineStr">
        <is>
          <t>ÖSTERGÖTLANDS LÄN</t>
        </is>
      </c>
      <c r="E1766" t="inlineStr">
        <is>
          <t>NORRKÖPING</t>
        </is>
      </c>
      <c r="G1766" t="n">
        <v>3.1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s="2" t="inlineStr"/>
    </row>
    <row r="1767" ht="15" customHeight="1">
      <c r="A1767" t="inlineStr">
        <is>
          <t>A 69045-2019</t>
        </is>
      </c>
      <c r="B1767" s="1" t="n">
        <v>43826</v>
      </c>
      <c r="C1767" s="1" t="n">
        <v>45211</v>
      </c>
      <c r="D1767" t="inlineStr">
        <is>
          <t>ÖSTERGÖTLANDS LÄN</t>
        </is>
      </c>
      <c r="E1767" t="inlineStr">
        <is>
          <t>FINSPÅNG</t>
        </is>
      </c>
      <c r="F1767" t="inlineStr">
        <is>
          <t>Övriga Aktiebolag</t>
        </is>
      </c>
      <c r="G1767" t="n">
        <v>5.1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s="2" t="inlineStr"/>
    </row>
    <row r="1768" ht="15" customHeight="1">
      <c r="A1768" t="inlineStr">
        <is>
          <t>A 69105-2019</t>
        </is>
      </c>
      <c r="B1768" s="1" t="n">
        <v>43826</v>
      </c>
      <c r="C1768" s="1" t="n">
        <v>45211</v>
      </c>
      <c r="D1768" t="inlineStr">
        <is>
          <t>ÖSTERGÖTLANDS LÄN</t>
        </is>
      </c>
      <c r="E1768" t="inlineStr">
        <is>
          <t>NORRKÖPING</t>
        </is>
      </c>
      <c r="G1768" t="n">
        <v>2.8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s="2" t="inlineStr"/>
    </row>
    <row r="1769" ht="15" customHeight="1">
      <c r="A1769" t="inlineStr">
        <is>
          <t>A 69112-2019</t>
        </is>
      </c>
      <c r="B1769" s="1" t="n">
        <v>43826</v>
      </c>
      <c r="C1769" s="1" t="n">
        <v>45211</v>
      </c>
      <c r="D1769" t="inlineStr">
        <is>
          <t>ÖSTERGÖTLANDS LÄN</t>
        </is>
      </c>
      <c r="E1769" t="inlineStr">
        <is>
          <t>ÖDESHÖG</t>
        </is>
      </c>
      <c r="G1769" t="n">
        <v>21.6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s="2" t="inlineStr"/>
    </row>
    <row r="1770" ht="15" customHeight="1">
      <c r="A1770" t="inlineStr">
        <is>
          <t>A 69084-2019</t>
        </is>
      </c>
      <c r="B1770" s="1" t="n">
        <v>43828</v>
      </c>
      <c r="C1770" s="1" t="n">
        <v>45211</v>
      </c>
      <c r="D1770" t="inlineStr">
        <is>
          <t>ÖSTERGÖTLANDS LÄN</t>
        </is>
      </c>
      <c r="E1770" t="inlineStr">
        <is>
          <t>MOTALA</t>
        </is>
      </c>
      <c r="G1770" t="n">
        <v>3.3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s="2" t="inlineStr"/>
    </row>
    <row r="1771" ht="15" customHeight="1">
      <c r="A1771" t="inlineStr">
        <is>
          <t>A 69155-2019</t>
        </is>
      </c>
      <c r="B1771" s="1" t="n">
        <v>43829</v>
      </c>
      <c r="C1771" s="1" t="n">
        <v>45211</v>
      </c>
      <c r="D1771" t="inlineStr">
        <is>
          <t>ÖSTERGÖTLANDS LÄN</t>
        </is>
      </c>
      <c r="E1771" t="inlineStr">
        <is>
          <t>ÅTVIDABERG</t>
        </is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s="2" t="inlineStr"/>
    </row>
    <row r="1772" ht="15" customHeight="1">
      <c r="A1772" t="inlineStr">
        <is>
          <t>A 51-2020</t>
        </is>
      </c>
      <c r="B1772" s="1" t="n">
        <v>43832</v>
      </c>
      <c r="C1772" s="1" t="n">
        <v>45211</v>
      </c>
      <c r="D1772" t="inlineStr">
        <is>
          <t>ÖSTERGÖTLANDS LÄN</t>
        </is>
      </c>
      <c r="E1772" t="inlineStr">
        <is>
          <t>SÖDERKÖPING</t>
        </is>
      </c>
      <c r="G1772" t="n">
        <v>2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s="2" t="inlineStr"/>
    </row>
    <row r="1773" ht="15" customHeight="1">
      <c r="A1773" t="inlineStr">
        <is>
          <t>A 58-2020</t>
        </is>
      </c>
      <c r="B1773" s="1" t="n">
        <v>43832</v>
      </c>
      <c r="C1773" s="1" t="n">
        <v>45211</v>
      </c>
      <c r="D1773" t="inlineStr">
        <is>
          <t>ÖSTERGÖTLANDS LÄN</t>
        </is>
      </c>
      <c r="E1773" t="inlineStr">
        <is>
          <t>MOTALA</t>
        </is>
      </c>
      <c r="G1773" t="n">
        <v>14.4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s="2" t="inlineStr"/>
    </row>
    <row r="1774" ht="15" customHeight="1">
      <c r="A1774" t="inlineStr">
        <is>
          <t>A 32-2020</t>
        </is>
      </c>
      <c r="B1774" s="1" t="n">
        <v>43832</v>
      </c>
      <c r="C1774" s="1" t="n">
        <v>45211</v>
      </c>
      <c r="D1774" t="inlineStr">
        <is>
          <t>ÖSTERGÖTLANDS LÄN</t>
        </is>
      </c>
      <c r="E1774" t="inlineStr">
        <is>
          <t>SÖDERKÖPING</t>
        </is>
      </c>
      <c r="G1774" t="n">
        <v>1.3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s="2" t="inlineStr"/>
    </row>
    <row r="1775" ht="15" customHeight="1">
      <c r="A1775" t="inlineStr">
        <is>
          <t>A 169-2020</t>
        </is>
      </c>
      <c r="B1775" s="1" t="n">
        <v>43833</v>
      </c>
      <c r="C1775" s="1" t="n">
        <v>45211</v>
      </c>
      <c r="D1775" t="inlineStr">
        <is>
          <t>ÖSTERGÖTLANDS LÄN</t>
        </is>
      </c>
      <c r="E1775" t="inlineStr">
        <is>
          <t>LINKÖPING</t>
        </is>
      </c>
      <c r="F1775" t="inlineStr">
        <is>
          <t>Övriga Aktiebolag</t>
        </is>
      </c>
      <c r="G1775" t="n">
        <v>2.1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s="2" t="inlineStr"/>
    </row>
    <row r="1776" ht="15" customHeight="1">
      <c r="A1776" t="inlineStr">
        <is>
          <t>A 192-2020</t>
        </is>
      </c>
      <c r="B1776" s="1" t="n">
        <v>43833</v>
      </c>
      <c r="C1776" s="1" t="n">
        <v>45211</v>
      </c>
      <c r="D1776" t="inlineStr">
        <is>
          <t>ÖSTERGÖTLANDS LÄN</t>
        </is>
      </c>
      <c r="E1776" t="inlineStr">
        <is>
          <t>BOXHOLM</t>
        </is>
      </c>
      <c r="F1776" t="inlineStr">
        <is>
          <t>Övriga Aktiebolag</t>
        </is>
      </c>
      <c r="G1776" t="n">
        <v>2.5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s="2" t="inlineStr"/>
    </row>
    <row r="1777" ht="15" customHeight="1">
      <c r="A1777" t="inlineStr">
        <is>
          <t>A 501-2020</t>
        </is>
      </c>
      <c r="B1777" s="1" t="n">
        <v>43837</v>
      </c>
      <c r="C1777" s="1" t="n">
        <v>45211</v>
      </c>
      <c r="D1777" t="inlineStr">
        <is>
          <t>ÖSTERGÖTLANDS LÄN</t>
        </is>
      </c>
      <c r="E1777" t="inlineStr">
        <is>
          <t>YDRE</t>
        </is>
      </c>
      <c r="G1777" t="n">
        <v>2.1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s="2" t="inlineStr"/>
    </row>
    <row r="1778" ht="15" customHeight="1">
      <c r="A1778" t="inlineStr">
        <is>
          <t>A 590-2020</t>
        </is>
      </c>
      <c r="B1778" s="1" t="n">
        <v>43837</v>
      </c>
      <c r="C1778" s="1" t="n">
        <v>45211</v>
      </c>
      <c r="D1778" t="inlineStr">
        <is>
          <t>ÖSTERGÖTLANDS LÄN</t>
        </is>
      </c>
      <c r="E1778" t="inlineStr">
        <is>
          <t>YDRE</t>
        </is>
      </c>
      <c r="G1778" t="n">
        <v>1.4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s="2" t="inlineStr"/>
    </row>
    <row r="1779" ht="15" customHeight="1">
      <c r="A1779" t="inlineStr">
        <is>
          <t>A 584-2020</t>
        </is>
      </c>
      <c r="B1779" s="1" t="n">
        <v>43838</v>
      </c>
      <c r="C1779" s="1" t="n">
        <v>45211</v>
      </c>
      <c r="D1779" t="inlineStr">
        <is>
          <t>ÖSTERGÖTLANDS LÄN</t>
        </is>
      </c>
      <c r="E1779" t="inlineStr">
        <is>
          <t>ÅTVIDABERG</t>
        </is>
      </c>
      <c r="F1779" t="inlineStr">
        <is>
          <t>Övriga Aktiebolag</t>
        </is>
      </c>
      <c r="G1779" t="n">
        <v>5.6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s="2" t="inlineStr"/>
    </row>
    <row r="1780" ht="15" customHeight="1">
      <c r="A1780" t="inlineStr">
        <is>
          <t>A 1985-2020</t>
        </is>
      </c>
      <c r="B1780" s="1" t="n">
        <v>43838</v>
      </c>
      <c r="C1780" s="1" t="n">
        <v>45211</v>
      </c>
      <c r="D1780" t="inlineStr">
        <is>
          <t>ÖSTERGÖTLANDS LÄN</t>
        </is>
      </c>
      <c r="E1780" t="inlineStr">
        <is>
          <t>MJÖLBY</t>
        </is>
      </c>
      <c r="G1780" t="n">
        <v>0.5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s="2" t="inlineStr"/>
    </row>
    <row r="1781" ht="15" customHeight="1">
      <c r="A1781" t="inlineStr">
        <is>
          <t>A 971-2020</t>
        </is>
      </c>
      <c r="B1781" s="1" t="n">
        <v>43839</v>
      </c>
      <c r="C1781" s="1" t="n">
        <v>45211</v>
      </c>
      <c r="D1781" t="inlineStr">
        <is>
          <t>ÖSTERGÖTLANDS LÄN</t>
        </is>
      </c>
      <c r="E1781" t="inlineStr">
        <is>
          <t>LINKÖPING</t>
        </is>
      </c>
      <c r="F1781" t="inlineStr">
        <is>
          <t>Övriga Aktiebolag</t>
        </is>
      </c>
      <c r="G1781" t="n">
        <v>7.9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s="2" t="inlineStr"/>
    </row>
    <row r="1782" ht="15" customHeight="1">
      <c r="A1782" t="inlineStr">
        <is>
          <t>A 998-2020</t>
        </is>
      </c>
      <c r="B1782" s="1" t="n">
        <v>43839</v>
      </c>
      <c r="C1782" s="1" t="n">
        <v>45211</v>
      </c>
      <c r="D1782" t="inlineStr">
        <is>
          <t>ÖSTERGÖTLANDS LÄN</t>
        </is>
      </c>
      <c r="E1782" t="inlineStr">
        <is>
          <t>LINKÖPING</t>
        </is>
      </c>
      <c r="F1782" t="inlineStr">
        <is>
          <t>Övriga Aktiebolag</t>
        </is>
      </c>
      <c r="G1782" t="n">
        <v>4.2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s="2" t="inlineStr"/>
    </row>
    <row r="1783" ht="15" customHeight="1">
      <c r="A1783" t="inlineStr">
        <is>
          <t>A 1045-2020</t>
        </is>
      </c>
      <c r="B1783" s="1" t="n">
        <v>43839</v>
      </c>
      <c r="C1783" s="1" t="n">
        <v>45211</v>
      </c>
      <c r="D1783" t="inlineStr">
        <is>
          <t>ÖSTERGÖTLANDS LÄN</t>
        </is>
      </c>
      <c r="E1783" t="inlineStr">
        <is>
          <t>YDRE</t>
        </is>
      </c>
      <c r="G1783" t="n">
        <v>1.7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s="2" t="inlineStr"/>
    </row>
    <row r="1784" ht="15" customHeight="1">
      <c r="A1784" t="inlineStr">
        <is>
          <t>A 1183-2020</t>
        </is>
      </c>
      <c r="B1784" s="1" t="n">
        <v>43840</v>
      </c>
      <c r="C1784" s="1" t="n">
        <v>45211</v>
      </c>
      <c r="D1784" t="inlineStr">
        <is>
          <t>ÖSTERGÖTLANDS LÄN</t>
        </is>
      </c>
      <c r="E1784" t="inlineStr">
        <is>
          <t>FINSPÅNG</t>
        </is>
      </c>
      <c r="G1784" t="n">
        <v>2.3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s="2" t="inlineStr"/>
    </row>
    <row r="1785" ht="15" customHeight="1">
      <c r="A1785" t="inlineStr">
        <is>
          <t>A 1165-2020</t>
        </is>
      </c>
      <c r="B1785" s="1" t="n">
        <v>43840</v>
      </c>
      <c r="C1785" s="1" t="n">
        <v>45211</v>
      </c>
      <c r="D1785" t="inlineStr">
        <is>
          <t>ÖSTERGÖTLANDS LÄN</t>
        </is>
      </c>
      <c r="E1785" t="inlineStr">
        <is>
          <t>KINDA</t>
        </is>
      </c>
      <c r="G1785" t="n">
        <v>0.6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s="2" t="inlineStr"/>
    </row>
    <row r="1786" ht="15" customHeight="1">
      <c r="A1786" t="inlineStr">
        <is>
          <t>A 1398-2020</t>
        </is>
      </c>
      <c r="B1786" s="1" t="n">
        <v>43843</v>
      </c>
      <c r="C1786" s="1" t="n">
        <v>45211</v>
      </c>
      <c r="D1786" t="inlineStr">
        <is>
          <t>ÖSTERGÖTLANDS LÄN</t>
        </is>
      </c>
      <c r="E1786" t="inlineStr">
        <is>
          <t>KINDA</t>
        </is>
      </c>
      <c r="G1786" t="n">
        <v>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s="2" t="inlineStr"/>
    </row>
    <row r="1787" ht="15" customHeight="1">
      <c r="A1787" t="inlineStr">
        <is>
          <t>A 1499-2020</t>
        </is>
      </c>
      <c r="B1787" s="1" t="n">
        <v>43843</v>
      </c>
      <c r="C1787" s="1" t="n">
        <v>45211</v>
      </c>
      <c r="D1787" t="inlineStr">
        <is>
          <t>ÖSTERGÖTLANDS LÄN</t>
        </is>
      </c>
      <c r="E1787" t="inlineStr">
        <is>
          <t>ÖDESHÖG</t>
        </is>
      </c>
      <c r="F1787" t="inlineStr">
        <is>
          <t>Allmännings- och besparingsskogar</t>
        </is>
      </c>
      <c r="G1787" t="n">
        <v>3.7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s="2" t="inlineStr"/>
    </row>
    <row r="1788" ht="15" customHeight="1">
      <c r="A1788" t="inlineStr">
        <is>
          <t>A 3413-2020</t>
        </is>
      </c>
      <c r="B1788" s="1" t="n">
        <v>43844</v>
      </c>
      <c r="C1788" s="1" t="n">
        <v>45211</v>
      </c>
      <c r="D1788" t="inlineStr">
        <is>
          <t>ÖSTERGÖTLANDS LÄN</t>
        </is>
      </c>
      <c r="E1788" t="inlineStr">
        <is>
          <t>MOTALA</t>
        </is>
      </c>
      <c r="G1788" t="n">
        <v>7.1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s="2" t="inlineStr"/>
    </row>
    <row r="1789" ht="15" customHeight="1">
      <c r="A1789" t="inlineStr">
        <is>
          <t>A 1735-2020</t>
        </is>
      </c>
      <c r="B1789" s="1" t="n">
        <v>43844</v>
      </c>
      <c r="C1789" s="1" t="n">
        <v>45211</v>
      </c>
      <c r="D1789" t="inlineStr">
        <is>
          <t>ÖSTERGÖTLANDS LÄN</t>
        </is>
      </c>
      <c r="E1789" t="inlineStr">
        <is>
          <t>LINKÖPING</t>
        </is>
      </c>
      <c r="F1789" t="inlineStr">
        <is>
          <t>Övriga Aktiebolag</t>
        </is>
      </c>
      <c r="G1789" t="n">
        <v>0.7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s="2" t="inlineStr"/>
    </row>
    <row r="1790" ht="15" customHeight="1">
      <c r="A1790" t="inlineStr">
        <is>
          <t>A 1827-2020</t>
        </is>
      </c>
      <c r="B1790" s="1" t="n">
        <v>43844</v>
      </c>
      <c r="C1790" s="1" t="n">
        <v>45211</v>
      </c>
      <c r="D1790" t="inlineStr">
        <is>
          <t>ÖSTERGÖTLANDS LÄN</t>
        </is>
      </c>
      <c r="E1790" t="inlineStr">
        <is>
          <t>FINSPÅNG</t>
        </is>
      </c>
      <c r="F1790" t="inlineStr">
        <is>
          <t>Holmen skog AB</t>
        </is>
      </c>
      <c r="G1790" t="n">
        <v>0.4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s="2" t="inlineStr"/>
    </row>
    <row r="1791" ht="15" customHeight="1">
      <c r="A1791" t="inlineStr">
        <is>
          <t>A 1848-2020</t>
        </is>
      </c>
      <c r="B1791" s="1" t="n">
        <v>43844</v>
      </c>
      <c r="C1791" s="1" t="n">
        <v>45211</v>
      </c>
      <c r="D1791" t="inlineStr">
        <is>
          <t>ÖSTERGÖTLANDS LÄN</t>
        </is>
      </c>
      <c r="E1791" t="inlineStr">
        <is>
          <t>FINSPÅNG</t>
        </is>
      </c>
      <c r="G1791" t="n">
        <v>1.7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s="2" t="inlineStr"/>
    </row>
    <row r="1792" ht="15" customHeight="1">
      <c r="A1792" t="inlineStr">
        <is>
          <t>A 3375-2020</t>
        </is>
      </c>
      <c r="B1792" s="1" t="n">
        <v>43844</v>
      </c>
      <c r="C1792" s="1" t="n">
        <v>45211</v>
      </c>
      <c r="D1792" t="inlineStr">
        <is>
          <t>ÖSTERGÖTLANDS LÄN</t>
        </is>
      </c>
      <c r="E1792" t="inlineStr">
        <is>
          <t>LINKÖPING</t>
        </is>
      </c>
      <c r="G1792" t="n">
        <v>0.9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s="2" t="inlineStr"/>
    </row>
    <row r="1793" ht="15" customHeight="1">
      <c r="A1793" t="inlineStr">
        <is>
          <t>A 1925-2020</t>
        </is>
      </c>
      <c r="B1793" s="1" t="n">
        <v>43845</v>
      </c>
      <c r="C1793" s="1" t="n">
        <v>45211</v>
      </c>
      <c r="D1793" t="inlineStr">
        <is>
          <t>ÖSTERGÖTLANDS LÄN</t>
        </is>
      </c>
      <c r="E1793" t="inlineStr">
        <is>
          <t>VALDEMARSVIK</t>
        </is>
      </c>
      <c r="G1793" t="n">
        <v>22.8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s="2" t="inlineStr"/>
    </row>
    <row r="1794" ht="15" customHeight="1">
      <c r="A1794" t="inlineStr">
        <is>
          <t>A 2111-2020</t>
        </is>
      </c>
      <c r="B1794" s="1" t="n">
        <v>43846</v>
      </c>
      <c r="C1794" s="1" t="n">
        <v>45211</v>
      </c>
      <c r="D1794" t="inlineStr">
        <is>
          <t>ÖSTERGÖTLANDS LÄN</t>
        </is>
      </c>
      <c r="E1794" t="inlineStr">
        <is>
          <t>SÖDERKÖPING</t>
        </is>
      </c>
      <c r="G1794" t="n">
        <v>1.6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s="2" t="inlineStr"/>
    </row>
    <row r="1795" ht="15" customHeight="1">
      <c r="A1795" t="inlineStr">
        <is>
          <t>A 2351-2020</t>
        </is>
      </c>
      <c r="B1795" s="1" t="n">
        <v>43846</v>
      </c>
      <c r="C1795" s="1" t="n">
        <v>45211</v>
      </c>
      <c r="D1795" t="inlineStr">
        <is>
          <t>ÖSTERGÖTLANDS LÄN</t>
        </is>
      </c>
      <c r="E1795" t="inlineStr">
        <is>
          <t>FINSPÅNG</t>
        </is>
      </c>
      <c r="F1795" t="inlineStr">
        <is>
          <t>Övriga Aktiebolag</t>
        </is>
      </c>
      <c r="G1795" t="n">
        <v>22.2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s="2" t="inlineStr"/>
    </row>
    <row r="1796" ht="15" customHeight="1">
      <c r="A1796" t="inlineStr">
        <is>
          <t>A 2349-2020</t>
        </is>
      </c>
      <c r="B1796" s="1" t="n">
        <v>43846</v>
      </c>
      <c r="C1796" s="1" t="n">
        <v>45211</v>
      </c>
      <c r="D1796" t="inlineStr">
        <is>
          <t>ÖSTERGÖTLANDS LÄN</t>
        </is>
      </c>
      <c r="E1796" t="inlineStr">
        <is>
          <t>FINSPÅNG</t>
        </is>
      </c>
      <c r="G1796" t="n">
        <v>3.1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s="2" t="inlineStr"/>
    </row>
    <row r="1797" ht="15" customHeight="1">
      <c r="A1797" t="inlineStr">
        <is>
          <t>A 2354-2020</t>
        </is>
      </c>
      <c r="B1797" s="1" t="n">
        <v>43846</v>
      </c>
      <c r="C1797" s="1" t="n">
        <v>45211</v>
      </c>
      <c r="D1797" t="inlineStr">
        <is>
          <t>ÖSTERGÖTLANDS LÄN</t>
        </is>
      </c>
      <c r="E1797" t="inlineStr">
        <is>
          <t>FINSPÅNG</t>
        </is>
      </c>
      <c r="F1797" t="inlineStr">
        <is>
          <t>Övriga Aktiebolag</t>
        </is>
      </c>
      <c r="G1797" t="n">
        <v>7.6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s="2" t="inlineStr"/>
    </row>
    <row r="1798" ht="15" customHeight="1">
      <c r="A1798" t="inlineStr">
        <is>
          <t>A 2471-2020</t>
        </is>
      </c>
      <c r="B1798" s="1" t="n">
        <v>43847</v>
      </c>
      <c r="C1798" s="1" t="n">
        <v>45211</v>
      </c>
      <c r="D1798" t="inlineStr">
        <is>
          <t>ÖSTERGÖTLANDS LÄN</t>
        </is>
      </c>
      <c r="E1798" t="inlineStr">
        <is>
          <t>LINKÖPING</t>
        </is>
      </c>
      <c r="G1798" t="n">
        <v>1.6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s="2" t="inlineStr"/>
    </row>
    <row r="1799" ht="15" customHeight="1">
      <c r="A1799" t="inlineStr">
        <is>
          <t>A 2406-2020</t>
        </is>
      </c>
      <c r="B1799" s="1" t="n">
        <v>43847</v>
      </c>
      <c r="C1799" s="1" t="n">
        <v>45211</v>
      </c>
      <c r="D1799" t="inlineStr">
        <is>
          <t>ÖSTERGÖTLANDS LÄN</t>
        </is>
      </c>
      <c r="E1799" t="inlineStr">
        <is>
          <t>ÅTVIDABERG</t>
        </is>
      </c>
      <c r="G1799" t="n">
        <v>3.7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s="2" t="inlineStr"/>
    </row>
    <row r="1800" ht="15" customHeight="1">
      <c r="A1800" t="inlineStr">
        <is>
          <t>A 2444-2020</t>
        </is>
      </c>
      <c r="B1800" s="1" t="n">
        <v>43847</v>
      </c>
      <c r="C1800" s="1" t="n">
        <v>45211</v>
      </c>
      <c r="D1800" t="inlineStr">
        <is>
          <t>ÖSTERGÖTLANDS LÄN</t>
        </is>
      </c>
      <c r="E1800" t="inlineStr">
        <is>
          <t>LINKÖPING</t>
        </is>
      </c>
      <c r="G1800" t="n">
        <v>2.1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s="2" t="inlineStr"/>
    </row>
    <row r="1801" ht="15" customHeight="1">
      <c r="A1801" t="inlineStr">
        <is>
          <t>A 2824-2020</t>
        </is>
      </c>
      <c r="B1801" s="1" t="n">
        <v>43850</v>
      </c>
      <c r="C1801" s="1" t="n">
        <v>45211</v>
      </c>
      <c r="D1801" t="inlineStr">
        <is>
          <t>ÖSTERGÖTLANDS LÄN</t>
        </is>
      </c>
      <c r="E1801" t="inlineStr">
        <is>
          <t>ÅTVIDABERG</t>
        </is>
      </c>
      <c r="F1801" t="inlineStr">
        <is>
          <t>Holmen skog AB</t>
        </is>
      </c>
      <c r="G1801" t="n">
        <v>0.5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s="2" t="inlineStr"/>
    </row>
    <row r="1802" ht="15" customHeight="1">
      <c r="A1802" t="inlineStr">
        <is>
          <t>A 2941-2020</t>
        </is>
      </c>
      <c r="B1802" s="1" t="n">
        <v>43850</v>
      </c>
      <c r="C1802" s="1" t="n">
        <v>45211</v>
      </c>
      <c r="D1802" t="inlineStr">
        <is>
          <t>ÖSTERGÖTLANDS LÄN</t>
        </is>
      </c>
      <c r="E1802" t="inlineStr">
        <is>
          <t>YDRE</t>
        </is>
      </c>
      <c r="G1802" t="n">
        <v>2.4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s="2" t="inlineStr"/>
    </row>
    <row r="1803" ht="15" customHeight="1">
      <c r="A1803" t="inlineStr">
        <is>
          <t>A 2990-2020</t>
        </is>
      </c>
      <c r="B1803" s="1" t="n">
        <v>43850</v>
      </c>
      <c r="C1803" s="1" t="n">
        <v>45211</v>
      </c>
      <c r="D1803" t="inlineStr">
        <is>
          <t>ÖSTERGÖTLANDS LÄN</t>
        </is>
      </c>
      <c r="E1803" t="inlineStr">
        <is>
          <t>KINDA</t>
        </is>
      </c>
      <c r="G1803" t="n">
        <v>4.1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s="2" t="inlineStr"/>
    </row>
    <row r="1804" ht="15" customHeight="1">
      <c r="A1804" t="inlineStr">
        <is>
          <t>A 2826-2020</t>
        </is>
      </c>
      <c r="B1804" s="1" t="n">
        <v>43850</v>
      </c>
      <c r="C1804" s="1" t="n">
        <v>45211</v>
      </c>
      <c r="D1804" t="inlineStr">
        <is>
          <t>ÖSTERGÖTLANDS LÄN</t>
        </is>
      </c>
      <c r="E1804" t="inlineStr">
        <is>
          <t>ÅTVIDABERG</t>
        </is>
      </c>
      <c r="F1804" t="inlineStr">
        <is>
          <t>Holmen skog AB</t>
        </is>
      </c>
      <c r="G1804" t="n">
        <v>0.8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s="2" t="inlineStr"/>
    </row>
    <row r="1805" ht="15" customHeight="1">
      <c r="A1805" t="inlineStr">
        <is>
          <t>A 3192-2020</t>
        </is>
      </c>
      <c r="B1805" s="1" t="n">
        <v>43851</v>
      </c>
      <c r="C1805" s="1" t="n">
        <v>45211</v>
      </c>
      <c r="D1805" t="inlineStr">
        <is>
          <t>ÖSTERGÖTLANDS LÄN</t>
        </is>
      </c>
      <c r="E1805" t="inlineStr">
        <is>
          <t>VADSTENA</t>
        </is>
      </c>
      <c r="G1805" t="n">
        <v>1.2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s="2" t="inlineStr"/>
    </row>
    <row r="1806" ht="15" customHeight="1">
      <c r="A1806" t="inlineStr">
        <is>
          <t>A 3134-2020</t>
        </is>
      </c>
      <c r="B1806" s="1" t="n">
        <v>43851</v>
      </c>
      <c r="C1806" s="1" t="n">
        <v>45211</v>
      </c>
      <c r="D1806" t="inlineStr">
        <is>
          <t>ÖSTERGÖTLANDS LÄN</t>
        </is>
      </c>
      <c r="E1806" t="inlineStr">
        <is>
          <t>FINSPÅNG</t>
        </is>
      </c>
      <c r="G1806" t="n">
        <v>1.2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s="2" t="inlineStr"/>
    </row>
    <row r="1807" ht="15" customHeight="1">
      <c r="A1807" t="inlineStr">
        <is>
          <t>A 4513-2020</t>
        </is>
      </c>
      <c r="B1807" s="1" t="n">
        <v>43851</v>
      </c>
      <c r="C1807" s="1" t="n">
        <v>45211</v>
      </c>
      <c r="D1807" t="inlineStr">
        <is>
          <t>ÖSTERGÖTLANDS LÄN</t>
        </is>
      </c>
      <c r="E1807" t="inlineStr">
        <is>
          <t>YDRE</t>
        </is>
      </c>
      <c r="G1807" t="n">
        <v>4.3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s="2" t="inlineStr"/>
    </row>
    <row r="1808" ht="15" customHeight="1">
      <c r="A1808" t="inlineStr">
        <is>
          <t>A 3077-2020</t>
        </is>
      </c>
      <c r="B1808" s="1" t="n">
        <v>43851</v>
      </c>
      <c r="C1808" s="1" t="n">
        <v>45211</v>
      </c>
      <c r="D1808" t="inlineStr">
        <is>
          <t>ÖSTERGÖTLANDS LÄN</t>
        </is>
      </c>
      <c r="E1808" t="inlineStr">
        <is>
          <t>YDRE</t>
        </is>
      </c>
      <c r="G1808" t="n">
        <v>3.4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s="2" t="inlineStr"/>
    </row>
    <row r="1809" ht="15" customHeight="1">
      <c r="A1809" t="inlineStr">
        <is>
          <t>A 3201-2020</t>
        </is>
      </c>
      <c r="B1809" s="1" t="n">
        <v>43851</v>
      </c>
      <c r="C1809" s="1" t="n">
        <v>45211</v>
      </c>
      <c r="D1809" t="inlineStr">
        <is>
          <t>ÖSTERGÖTLANDS LÄN</t>
        </is>
      </c>
      <c r="E1809" t="inlineStr">
        <is>
          <t>LINKÖPING</t>
        </is>
      </c>
      <c r="G1809" t="n">
        <v>2.4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s="2" t="inlineStr"/>
    </row>
    <row r="1810" ht="15" customHeight="1">
      <c r="A1810" t="inlineStr">
        <is>
          <t>A 3372-2020</t>
        </is>
      </c>
      <c r="B1810" s="1" t="n">
        <v>43852</v>
      </c>
      <c r="C1810" s="1" t="n">
        <v>45211</v>
      </c>
      <c r="D1810" t="inlineStr">
        <is>
          <t>ÖSTERGÖTLANDS LÄN</t>
        </is>
      </c>
      <c r="E1810" t="inlineStr">
        <is>
          <t>FINSPÅNG</t>
        </is>
      </c>
      <c r="G1810" t="n">
        <v>0.7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s="2" t="inlineStr"/>
    </row>
    <row r="1811" ht="15" customHeight="1">
      <c r="A1811" t="inlineStr">
        <is>
          <t>A 3408-2020</t>
        </is>
      </c>
      <c r="B1811" s="1" t="n">
        <v>43852</v>
      </c>
      <c r="C1811" s="1" t="n">
        <v>45211</v>
      </c>
      <c r="D1811" t="inlineStr">
        <is>
          <t>ÖSTERGÖTLANDS LÄN</t>
        </is>
      </c>
      <c r="E1811" t="inlineStr">
        <is>
          <t>BOXHOLM</t>
        </is>
      </c>
      <c r="G1811" t="n">
        <v>4.3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s="2" t="inlineStr"/>
    </row>
    <row r="1812" ht="15" customHeight="1">
      <c r="A1812" t="inlineStr">
        <is>
          <t>A 3416-2020</t>
        </is>
      </c>
      <c r="B1812" s="1" t="n">
        <v>43852</v>
      </c>
      <c r="C1812" s="1" t="n">
        <v>45211</v>
      </c>
      <c r="D1812" t="inlineStr">
        <is>
          <t>ÖSTERGÖTLANDS LÄN</t>
        </is>
      </c>
      <c r="E1812" t="inlineStr">
        <is>
          <t>KINDA</t>
        </is>
      </c>
      <c r="G1812" t="n">
        <v>0.8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s="2" t="inlineStr"/>
    </row>
    <row r="1813" ht="15" customHeight="1">
      <c r="A1813" t="inlineStr">
        <is>
          <t>A 3435-2020</t>
        </is>
      </c>
      <c r="B1813" s="1" t="n">
        <v>43852</v>
      </c>
      <c r="C1813" s="1" t="n">
        <v>45211</v>
      </c>
      <c r="D1813" t="inlineStr">
        <is>
          <t>ÖSTERGÖTLANDS LÄN</t>
        </is>
      </c>
      <c r="E1813" t="inlineStr">
        <is>
          <t>VALDEMARSVIK</t>
        </is>
      </c>
      <c r="G1813" t="n">
        <v>6.4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s="2" t="inlineStr"/>
    </row>
    <row r="1814" ht="15" customHeight="1">
      <c r="A1814" t="inlineStr">
        <is>
          <t>A 3613-2020</t>
        </is>
      </c>
      <c r="B1814" s="1" t="n">
        <v>43853</v>
      </c>
      <c r="C1814" s="1" t="n">
        <v>45211</v>
      </c>
      <c r="D1814" t="inlineStr">
        <is>
          <t>ÖSTERGÖTLANDS LÄN</t>
        </is>
      </c>
      <c r="E1814" t="inlineStr">
        <is>
          <t>BOXHOLM</t>
        </is>
      </c>
      <c r="F1814" t="inlineStr">
        <is>
          <t>Övriga Aktiebolag</t>
        </is>
      </c>
      <c r="G1814" t="n">
        <v>2.1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s="2" t="inlineStr"/>
    </row>
    <row r="1815" ht="15" customHeight="1">
      <c r="A1815" t="inlineStr">
        <is>
          <t>A 3647-2020</t>
        </is>
      </c>
      <c r="B1815" s="1" t="n">
        <v>43853</v>
      </c>
      <c r="C1815" s="1" t="n">
        <v>45211</v>
      </c>
      <c r="D1815" t="inlineStr">
        <is>
          <t>ÖSTERGÖTLANDS LÄN</t>
        </is>
      </c>
      <c r="E1815" t="inlineStr">
        <is>
          <t>FINSPÅNG</t>
        </is>
      </c>
      <c r="G1815" t="n">
        <v>1.3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s="2" t="inlineStr"/>
    </row>
    <row r="1816" ht="15" customHeight="1">
      <c r="A1816" t="inlineStr">
        <is>
          <t>A 3649-2020</t>
        </is>
      </c>
      <c r="B1816" s="1" t="n">
        <v>43853</v>
      </c>
      <c r="C1816" s="1" t="n">
        <v>45211</v>
      </c>
      <c r="D1816" t="inlineStr">
        <is>
          <t>ÖSTERGÖTLANDS LÄN</t>
        </is>
      </c>
      <c r="E1816" t="inlineStr">
        <is>
          <t>FINSPÅNG</t>
        </is>
      </c>
      <c r="G1816" t="n">
        <v>1.4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s="2" t="inlineStr"/>
    </row>
    <row r="1817" ht="15" customHeight="1">
      <c r="A1817" t="inlineStr">
        <is>
          <t>A 3503-2020</t>
        </is>
      </c>
      <c r="B1817" s="1" t="n">
        <v>43853</v>
      </c>
      <c r="C1817" s="1" t="n">
        <v>45211</v>
      </c>
      <c r="D1817" t="inlineStr">
        <is>
          <t>ÖSTERGÖTLANDS LÄN</t>
        </is>
      </c>
      <c r="E1817" t="inlineStr">
        <is>
          <t>LINKÖPING</t>
        </is>
      </c>
      <c r="G1817" t="n">
        <v>1.3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s="2" t="inlineStr"/>
    </row>
    <row r="1818" ht="15" customHeight="1">
      <c r="A1818" t="inlineStr">
        <is>
          <t>A 3946-2020</t>
        </is>
      </c>
      <c r="B1818" s="1" t="n">
        <v>43854</v>
      </c>
      <c r="C1818" s="1" t="n">
        <v>45211</v>
      </c>
      <c r="D1818" t="inlineStr">
        <is>
          <t>ÖSTERGÖTLANDS LÄN</t>
        </is>
      </c>
      <c r="E1818" t="inlineStr">
        <is>
          <t>ÖDESHÖG</t>
        </is>
      </c>
      <c r="F1818" t="inlineStr">
        <is>
          <t>Allmännings- och besparingsskogar</t>
        </is>
      </c>
      <c r="G1818" t="n">
        <v>0.9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s="2" t="inlineStr"/>
    </row>
    <row r="1819" ht="15" customHeight="1">
      <c r="A1819" t="inlineStr">
        <is>
          <t>A 3964-2020</t>
        </is>
      </c>
      <c r="B1819" s="1" t="n">
        <v>43854</v>
      </c>
      <c r="C1819" s="1" t="n">
        <v>45211</v>
      </c>
      <c r="D1819" t="inlineStr">
        <is>
          <t>ÖSTERGÖTLANDS LÄN</t>
        </is>
      </c>
      <c r="E1819" t="inlineStr">
        <is>
          <t>YDRE</t>
        </is>
      </c>
      <c r="G1819" t="n">
        <v>2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s="2" t="inlineStr"/>
    </row>
    <row r="1820" ht="15" customHeight="1">
      <c r="A1820" t="inlineStr">
        <is>
          <t>A 4162-2020</t>
        </is>
      </c>
      <c r="B1820" s="1" t="n">
        <v>43857</v>
      </c>
      <c r="C1820" s="1" t="n">
        <v>45211</v>
      </c>
      <c r="D1820" t="inlineStr">
        <is>
          <t>ÖSTERGÖTLANDS LÄN</t>
        </is>
      </c>
      <c r="E1820" t="inlineStr">
        <is>
          <t>LINKÖPING</t>
        </is>
      </c>
      <c r="G1820" t="n">
        <v>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s="2" t="inlineStr"/>
    </row>
    <row r="1821" ht="15" customHeight="1">
      <c r="A1821" t="inlineStr">
        <is>
          <t>A 4176-2020</t>
        </is>
      </c>
      <c r="B1821" s="1" t="n">
        <v>43857</v>
      </c>
      <c r="C1821" s="1" t="n">
        <v>45211</v>
      </c>
      <c r="D1821" t="inlineStr">
        <is>
          <t>ÖSTERGÖTLANDS LÄN</t>
        </is>
      </c>
      <c r="E1821" t="inlineStr">
        <is>
          <t>MJÖLBY</t>
        </is>
      </c>
      <c r="F1821" t="inlineStr">
        <is>
          <t>Kyrkan</t>
        </is>
      </c>
      <c r="G1821" t="n">
        <v>1.2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s="2" t="inlineStr"/>
    </row>
    <row r="1822" ht="15" customHeight="1">
      <c r="A1822" t="inlineStr">
        <is>
          <t>A 4195-2020</t>
        </is>
      </c>
      <c r="B1822" s="1" t="n">
        <v>43857</v>
      </c>
      <c r="C1822" s="1" t="n">
        <v>45211</v>
      </c>
      <c r="D1822" t="inlineStr">
        <is>
          <t>ÖSTERGÖTLANDS LÄN</t>
        </is>
      </c>
      <c r="E1822" t="inlineStr">
        <is>
          <t>NORRKÖPING</t>
        </is>
      </c>
      <c r="F1822" t="inlineStr">
        <is>
          <t>Holmen skog AB</t>
        </is>
      </c>
      <c r="G1822" t="n">
        <v>1.1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s="2" t="inlineStr"/>
    </row>
    <row r="1823" ht="15" customHeight="1">
      <c r="A1823" t="inlineStr">
        <is>
          <t>A 4133-2020</t>
        </is>
      </c>
      <c r="B1823" s="1" t="n">
        <v>43857</v>
      </c>
      <c r="C1823" s="1" t="n">
        <v>45211</v>
      </c>
      <c r="D1823" t="inlineStr">
        <is>
          <t>ÖSTERGÖTLANDS LÄN</t>
        </is>
      </c>
      <c r="E1823" t="inlineStr">
        <is>
          <t>MJÖLBY</t>
        </is>
      </c>
      <c r="G1823" t="n">
        <v>2.2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s="2" t="inlineStr"/>
    </row>
    <row r="1824" ht="15" customHeight="1">
      <c r="A1824" t="inlineStr">
        <is>
          <t>A 4199-2020</t>
        </is>
      </c>
      <c r="B1824" s="1" t="n">
        <v>43857</v>
      </c>
      <c r="C1824" s="1" t="n">
        <v>45211</v>
      </c>
      <c r="D1824" t="inlineStr">
        <is>
          <t>ÖSTERGÖTLANDS LÄN</t>
        </is>
      </c>
      <c r="E1824" t="inlineStr">
        <is>
          <t>NORRKÖPING</t>
        </is>
      </c>
      <c r="G1824" t="n">
        <v>0.5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s="2" t="inlineStr"/>
    </row>
    <row r="1825" ht="15" customHeight="1">
      <c r="A1825" t="inlineStr">
        <is>
          <t>A 4278-2020</t>
        </is>
      </c>
      <c r="B1825" s="1" t="n">
        <v>43857</v>
      </c>
      <c r="C1825" s="1" t="n">
        <v>45211</v>
      </c>
      <c r="D1825" t="inlineStr">
        <is>
          <t>ÖSTERGÖTLANDS LÄN</t>
        </is>
      </c>
      <c r="E1825" t="inlineStr">
        <is>
          <t>FINSPÅNG</t>
        </is>
      </c>
      <c r="F1825" t="inlineStr">
        <is>
          <t>Holmen skog AB</t>
        </is>
      </c>
      <c r="G1825" t="n">
        <v>0.7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s="2" t="inlineStr"/>
    </row>
    <row r="1826" ht="15" customHeight="1">
      <c r="A1826" t="inlineStr">
        <is>
          <t>A 4107-2020</t>
        </is>
      </c>
      <c r="B1826" s="1" t="n">
        <v>43857</v>
      </c>
      <c r="C1826" s="1" t="n">
        <v>45211</v>
      </c>
      <c r="D1826" t="inlineStr">
        <is>
          <t>ÖSTERGÖTLANDS LÄN</t>
        </is>
      </c>
      <c r="E1826" t="inlineStr">
        <is>
          <t>ÅTVIDABERG</t>
        </is>
      </c>
      <c r="F1826" t="inlineStr">
        <is>
          <t>Holmen skog AB</t>
        </is>
      </c>
      <c r="G1826" t="n">
        <v>0.5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s="2" t="inlineStr"/>
    </row>
    <row r="1827" ht="15" customHeight="1">
      <c r="A1827" t="inlineStr">
        <is>
          <t>A 4315-2020</t>
        </is>
      </c>
      <c r="B1827" s="1" t="n">
        <v>43857</v>
      </c>
      <c r="C1827" s="1" t="n">
        <v>45211</v>
      </c>
      <c r="D1827" t="inlineStr">
        <is>
          <t>ÖSTERGÖTLANDS LÄN</t>
        </is>
      </c>
      <c r="E1827" t="inlineStr">
        <is>
          <t>FINSPÅNG</t>
        </is>
      </c>
      <c r="G1827" t="n">
        <v>2.3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s="2" t="inlineStr"/>
    </row>
    <row r="1828" ht="15" customHeight="1">
      <c r="A1828" t="inlineStr">
        <is>
          <t>A 4091-2020</t>
        </is>
      </c>
      <c r="B1828" s="1" t="n">
        <v>43857</v>
      </c>
      <c r="C1828" s="1" t="n">
        <v>45211</v>
      </c>
      <c r="D1828" t="inlineStr">
        <is>
          <t>ÖSTERGÖTLANDS LÄN</t>
        </is>
      </c>
      <c r="E1828" t="inlineStr">
        <is>
          <t>MJÖLBY</t>
        </is>
      </c>
      <c r="F1828" t="inlineStr">
        <is>
          <t>Kyrkan</t>
        </is>
      </c>
      <c r="G1828" t="n">
        <v>4.7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s="2" t="inlineStr"/>
    </row>
    <row r="1829" ht="15" customHeight="1">
      <c r="A1829" t="inlineStr">
        <is>
          <t>A 4167-2020</t>
        </is>
      </c>
      <c r="B1829" s="1" t="n">
        <v>43857</v>
      </c>
      <c r="C1829" s="1" t="n">
        <v>45211</v>
      </c>
      <c r="D1829" t="inlineStr">
        <is>
          <t>ÖSTERGÖTLANDS LÄN</t>
        </is>
      </c>
      <c r="E1829" t="inlineStr">
        <is>
          <t>FINSPÅNG</t>
        </is>
      </c>
      <c r="G1829" t="n">
        <v>0.6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s="2" t="inlineStr"/>
    </row>
    <row r="1830" ht="15" customHeight="1">
      <c r="A1830" t="inlineStr">
        <is>
          <t>A 4207-2020</t>
        </is>
      </c>
      <c r="B1830" s="1" t="n">
        <v>43857</v>
      </c>
      <c r="C1830" s="1" t="n">
        <v>45211</v>
      </c>
      <c r="D1830" t="inlineStr">
        <is>
          <t>ÖSTERGÖTLANDS LÄN</t>
        </is>
      </c>
      <c r="E1830" t="inlineStr">
        <is>
          <t>NORRKÖPING</t>
        </is>
      </c>
      <c r="G1830" t="n">
        <v>1.5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s="2" t="inlineStr"/>
    </row>
    <row r="1831" ht="15" customHeight="1">
      <c r="A1831" t="inlineStr">
        <is>
          <t>A 5369-2020</t>
        </is>
      </c>
      <c r="B1831" s="1" t="n">
        <v>43857</v>
      </c>
      <c r="C1831" s="1" t="n">
        <v>45211</v>
      </c>
      <c r="D1831" t="inlineStr">
        <is>
          <t>ÖSTERGÖTLANDS LÄN</t>
        </is>
      </c>
      <c r="E1831" t="inlineStr">
        <is>
          <t>LINKÖPING</t>
        </is>
      </c>
      <c r="G1831" t="n">
        <v>17.8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s="2" t="inlineStr"/>
    </row>
    <row r="1832" ht="15" customHeight="1">
      <c r="A1832" t="inlineStr">
        <is>
          <t>A 4397-2020</t>
        </is>
      </c>
      <c r="B1832" s="1" t="n">
        <v>43858</v>
      </c>
      <c r="C1832" s="1" t="n">
        <v>45211</v>
      </c>
      <c r="D1832" t="inlineStr">
        <is>
          <t>ÖSTERGÖTLANDS LÄN</t>
        </is>
      </c>
      <c r="E1832" t="inlineStr">
        <is>
          <t>ÅTVIDABERG</t>
        </is>
      </c>
      <c r="G1832" t="n">
        <v>1.6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s="2" t="inlineStr"/>
    </row>
    <row r="1833" ht="15" customHeight="1">
      <c r="A1833" t="inlineStr">
        <is>
          <t>A 4507-2020</t>
        </is>
      </c>
      <c r="B1833" s="1" t="n">
        <v>43858</v>
      </c>
      <c r="C1833" s="1" t="n">
        <v>45211</v>
      </c>
      <c r="D1833" t="inlineStr">
        <is>
          <t>ÖSTERGÖTLANDS LÄN</t>
        </is>
      </c>
      <c r="E1833" t="inlineStr">
        <is>
          <t>LINKÖPING</t>
        </is>
      </c>
      <c r="G1833" t="n">
        <v>1.8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s="2" t="inlineStr"/>
    </row>
    <row r="1834" ht="15" customHeight="1">
      <c r="A1834" t="inlineStr">
        <is>
          <t>A 4712-2020</t>
        </is>
      </c>
      <c r="B1834" s="1" t="n">
        <v>43858</v>
      </c>
      <c r="C1834" s="1" t="n">
        <v>45211</v>
      </c>
      <c r="D1834" t="inlineStr">
        <is>
          <t>ÖSTERGÖTLANDS LÄN</t>
        </is>
      </c>
      <c r="E1834" t="inlineStr">
        <is>
          <t>FINSPÅNG</t>
        </is>
      </c>
      <c r="G1834" t="n">
        <v>0.7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s="2" t="inlineStr"/>
    </row>
    <row r="1835" ht="15" customHeight="1">
      <c r="A1835" t="inlineStr">
        <is>
          <t>A 4720-2020</t>
        </is>
      </c>
      <c r="B1835" s="1" t="n">
        <v>43858</v>
      </c>
      <c r="C1835" s="1" t="n">
        <v>45211</v>
      </c>
      <c r="D1835" t="inlineStr">
        <is>
          <t>ÖSTERGÖTLANDS LÄN</t>
        </is>
      </c>
      <c r="E1835" t="inlineStr">
        <is>
          <t>ÖDESHÖG</t>
        </is>
      </c>
      <c r="F1835" t="inlineStr">
        <is>
          <t>Allmännings- och besparingsskogar</t>
        </is>
      </c>
      <c r="G1835" t="n">
        <v>1.9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s="2" t="inlineStr"/>
    </row>
    <row r="1836" ht="15" customHeight="1">
      <c r="A1836" t="inlineStr">
        <is>
          <t>A 4713-2020</t>
        </is>
      </c>
      <c r="B1836" s="1" t="n">
        <v>43858</v>
      </c>
      <c r="C1836" s="1" t="n">
        <v>45211</v>
      </c>
      <c r="D1836" t="inlineStr">
        <is>
          <t>ÖSTERGÖTLANDS LÄN</t>
        </is>
      </c>
      <c r="E1836" t="inlineStr">
        <is>
          <t>FINSPÅNG</t>
        </is>
      </c>
      <c r="G1836" t="n">
        <v>3.5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s="2" t="inlineStr"/>
    </row>
    <row r="1837" ht="15" customHeight="1">
      <c r="A1837" t="inlineStr">
        <is>
          <t>A 4454-2020</t>
        </is>
      </c>
      <c r="B1837" s="1" t="n">
        <v>43858</v>
      </c>
      <c r="C1837" s="1" t="n">
        <v>45211</v>
      </c>
      <c r="D1837" t="inlineStr">
        <is>
          <t>ÖSTERGÖTLANDS LÄN</t>
        </is>
      </c>
      <c r="E1837" t="inlineStr">
        <is>
          <t>KINDA</t>
        </is>
      </c>
      <c r="G1837" t="n">
        <v>4.2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s="2" t="inlineStr"/>
    </row>
    <row r="1838" ht="15" customHeight="1">
      <c r="A1838" t="inlineStr">
        <is>
          <t>A 4511-2020</t>
        </is>
      </c>
      <c r="B1838" s="1" t="n">
        <v>43858</v>
      </c>
      <c r="C1838" s="1" t="n">
        <v>45211</v>
      </c>
      <c r="D1838" t="inlineStr">
        <is>
          <t>ÖSTERGÖTLANDS LÄN</t>
        </is>
      </c>
      <c r="E1838" t="inlineStr">
        <is>
          <t>KINDA</t>
        </is>
      </c>
      <c r="G1838" t="n">
        <v>1.8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s="2" t="inlineStr"/>
    </row>
    <row r="1839" ht="15" customHeight="1">
      <c r="A1839" t="inlineStr">
        <is>
          <t>A 4428-2020</t>
        </is>
      </c>
      <c r="B1839" s="1" t="n">
        <v>43858</v>
      </c>
      <c r="C1839" s="1" t="n">
        <v>45211</v>
      </c>
      <c r="D1839" t="inlineStr">
        <is>
          <t>ÖSTERGÖTLANDS LÄN</t>
        </is>
      </c>
      <c r="E1839" t="inlineStr">
        <is>
          <t>KINDA</t>
        </is>
      </c>
      <c r="G1839" t="n">
        <v>3.6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s="2" t="inlineStr"/>
    </row>
    <row r="1840" ht="15" customHeight="1">
      <c r="A1840" t="inlineStr">
        <is>
          <t>A 4585-2020</t>
        </is>
      </c>
      <c r="B1840" s="1" t="n">
        <v>43858</v>
      </c>
      <c r="C1840" s="1" t="n">
        <v>45211</v>
      </c>
      <c r="D1840" t="inlineStr">
        <is>
          <t>ÖSTERGÖTLANDS LÄN</t>
        </is>
      </c>
      <c r="E1840" t="inlineStr">
        <is>
          <t>LINKÖPING</t>
        </is>
      </c>
      <c r="G1840" t="n">
        <v>20.2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s="2" t="inlineStr"/>
    </row>
    <row r="1841" ht="15" customHeight="1">
      <c r="A1841" t="inlineStr">
        <is>
          <t>A 4710-2020</t>
        </is>
      </c>
      <c r="B1841" s="1" t="n">
        <v>43858</v>
      </c>
      <c r="C1841" s="1" t="n">
        <v>45211</v>
      </c>
      <c r="D1841" t="inlineStr">
        <is>
          <t>ÖSTERGÖTLANDS LÄN</t>
        </is>
      </c>
      <c r="E1841" t="inlineStr">
        <is>
          <t>KINDA</t>
        </is>
      </c>
      <c r="G1841" t="n">
        <v>1.1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s="2" t="inlineStr"/>
    </row>
    <row r="1842" ht="15" customHeight="1">
      <c r="A1842" t="inlineStr">
        <is>
          <t>A 4923-2020</t>
        </is>
      </c>
      <c r="B1842" s="1" t="n">
        <v>43859</v>
      </c>
      <c r="C1842" s="1" t="n">
        <v>45211</v>
      </c>
      <c r="D1842" t="inlineStr">
        <is>
          <t>ÖSTERGÖTLANDS LÄN</t>
        </is>
      </c>
      <c r="E1842" t="inlineStr">
        <is>
          <t>MOTALA</t>
        </is>
      </c>
      <c r="G1842" t="n">
        <v>4.2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s="2" t="inlineStr"/>
    </row>
    <row r="1843" ht="15" customHeight="1">
      <c r="A1843" t="inlineStr">
        <is>
          <t>A 5083-2020</t>
        </is>
      </c>
      <c r="B1843" s="1" t="n">
        <v>43859</v>
      </c>
      <c r="C1843" s="1" t="n">
        <v>45211</v>
      </c>
      <c r="D1843" t="inlineStr">
        <is>
          <t>ÖSTERGÖTLANDS LÄN</t>
        </is>
      </c>
      <c r="E1843" t="inlineStr">
        <is>
          <t>YDRE</t>
        </is>
      </c>
      <c r="G1843" t="n">
        <v>1.3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s="2" t="inlineStr"/>
    </row>
    <row r="1844" ht="15" customHeight="1">
      <c r="A1844" t="inlineStr">
        <is>
          <t>A 4780-2020</t>
        </is>
      </c>
      <c r="B1844" s="1" t="n">
        <v>43859</v>
      </c>
      <c r="C1844" s="1" t="n">
        <v>45211</v>
      </c>
      <c r="D1844" t="inlineStr">
        <is>
          <t>ÖSTERGÖTLANDS LÄN</t>
        </is>
      </c>
      <c r="E1844" t="inlineStr">
        <is>
          <t>ÖDESHÖG</t>
        </is>
      </c>
      <c r="G1844" t="n">
        <v>0.9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s="2" t="inlineStr"/>
    </row>
    <row r="1845" ht="15" customHeight="1">
      <c r="A1845" t="inlineStr">
        <is>
          <t>A 4811-2020</t>
        </is>
      </c>
      <c r="B1845" s="1" t="n">
        <v>43859</v>
      </c>
      <c r="C1845" s="1" t="n">
        <v>45211</v>
      </c>
      <c r="D1845" t="inlineStr">
        <is>
          <t>ÖSTERGÖTLANDS LÄN</t>
        </is>
      </c>
      <c r="E1845" t="inlineStr">
        <is>
          <t>FINSPÅNG</t>
        </is>
      </c>
      <c r="G1845" t="n">
        <v>0.9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s="2" t="inlineStr"/>
    </row>
    <row r="1846" ht="15" customHeight="1">
      <c r="A1846" t="inlineStr">
        <is>
          <t>A 4919-2020</t>
        </is>
      </c>
      <c r="B1846" s="1" t="n">
        <v>43859</v>
      </c>
      <c r="C1846" s="1" t="n">
        <v>45211</v>
      </c>
      <c r="D1846" t="inlineStr">
        <is>
          <t>ÖSTERGÖTLANDS LÄN</t>
        </is>
      </c>
      <c r="E1846" t="inlineStr">
        <is>
          <t>MOTALA</t>
        </is>
      </c>
      <c r="G1846" t="n">
        <v>2.8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s="2" t="inlineStr"/>
    </row>
    <row r="1847" ht="15" customHeight="1">
      <c r="A1847" t="inlineStr">
        <is>
          <t>A 4949-2020</t>
        </is>
      </c>
      <c r="B1847" s="1" t="n">
        <v>43859</v>
      </c>
      <c r="C1847" s="1" t="n">
        <v>45211</v>
      </c>
      <c r="D1847" t="inlineStr">
        <is>
          <t>ÖSTERGÖTLANDS LÄN</t>
        </is>
      </c>
      <c r="E1847" t="inlineStr">
        <is>
          <t>LINKÖPING</t>
        </is>
      </c>
      <c r="F1847" t="inlineStr">
        <is>
          <t>Övriga Aktiebolag</t>
        </is>
      </c>
      <c r="G1847" t="n">
        <v>3.4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s="2" t="inlineStr"/>
    </row>
    <row r="1848" ht="15" customHeight="1">
      <c r="A1848" t="inlineStr">
        <is>
          <t>A 4922-2020</t>
        </is>
      </c>
      <c r="B1848" s="1" t="n">
        <v>43859</v>
      </c>
      <c r="C1848" s="1" t="n">
        <v>45211</v>
      </c>
      <c r="D1848" t="inlineStr">
        <is>
          <t>ÖSTERGÖTLANDS LÄN</t>
        </is>
      </c>
      <c r="E1848" t="inlineStr">
        <is>
          <t>MOTALA</t>
        </is>
      </c>
      <c r="G1848" t="n">
        <v>0.7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s="2" t="inlineStr"/>
    </row>
    <row r="1849" ht="15" customHeight="1">
      <c r="A1849" t="inlineStr">
        <is>
          <t>A 4955-2020</t>
        </is>
      </c>
      <c r="B1849" s="1" t="n">
        <v>43859</v>
      </c>
      <c r="C1849" s="1" t="n">
        <v>45211</v>
      </c>
      <c r="D1849" t="inlineStr">
        <is>
          <t>ÖSTERGÖTLANDS LÄN</t>
        </is>
      </c>
      <c r="E1849" t="inlineStr">
        <is>
          <t>SÖDERKÖPING</t>
        </is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s="2" t="inlineStr"/>
    </row>
    <row r="1850" ht="15" customHeight="1">
      <c r="A1850" t="inlineStr">
        <is>
          <t>A 4988-2020</t>
        </is>
      </c>
      <c r="B1850" s="1" t="n">
        <v>43859</v>
      </c>
      <c r="C1850" s="1" t="n">
        <v>45211</v>
      </c>
      <c r="D1850" t="inlineStr">
        <is>
          <t>ÖSTERGÖTLANDS LÄN</t>
        </is>
      </c>
      <c r="E1850" t="inlineStr">
        <is>
          <t>SÖDERKÖPING</t>
        </is>
      </c>
      <c r="G1850" t="n">
        <v>0.4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s="2" t="inlineStr"/>
    </row>
    <row r="1851" ht="15" customHeight="1">
      <c r="A1851" t="inlineStr">
        <is>
          <t>A 5078-2020</t>
        </is>
      </c>
      <c r="B1851" s="1" t="n">
        <v>43859</v>
      </c>
      <c r="C1851" s="1" t="n">
        <v>45211</v>
      </c>
      <c r="D1851" t="inlineStr">
        <is>
          <t>ÖSTERGÖTLANDS LÄN</t>
        </is>
      </c>
      <c r="E1851" t="inlineStr">
        <is>
          <t>YDRE</t>
        </is>
      </c>
      <c r="G1851" t="n">
        <v>8.5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s="2" t="inlineStr"/>
    </row>
    <row r="1852" ht="15" customHeight="1">
      <c r="A1852" t="inlineStr">
        <is>
          <t>A 5088-2020</t>
        </is>
      </c>
      <c r="B1852" s="1" t="n">
        <v>43859</v>
      </c>
      <c r="C1852" s="1" t="n">
        <v>45211</v>
      </c>
      <c r="D1852" t="inlineStr">
        <is>
          <t>ÖSTERGÖTLANDS LÄN</t>
        </is>
      </c>
      <c r="E1852" t="inlineStr">
        <is>
          <t>FINSPÅNG</t>
        </is>
      </c>
      <c r="G1852" t="n">
        <v>1.1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s="2" t="inlineStr"/>
    </row>
    <row r="1853" ht="15" customHeight="1">
      <c r="A1853" t="inlineStr">
        <is>
          <t>A 4917-2020</t>
        </is>
      </c>
      <c r="B1853" s="1" t="n">
        <v>43859</v>
      </c>
      <c r="C1853" s="1" t="n">
        <v>45211</v>
      </c>
      <c r="D1853" t="inlineStr">
        <is>
          <t>ÖSTERGÖTLANDS LÄN</t>
        </is>
      </c>
      <c r="E1853" t="inlineStr">
        <is>
          <t>MOTALA</t>
        </is>
      </c>
      <c r="G1853" t="n">
        <v>1.2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s="2" t="inlineStr"/>
    </row>
    <row r="1854" ht="15" customHeight="1">
      <c r="A1854" t="inlineStr">
        <is>
          <t>A 4927-2020</t>
        </is>
      </c>
      <c r="B1854" s="1" t="n">
        <v>43859</v>
      </c>
      <c r="C1854" s="1" t="n">
        <v>45211</v>
      </c>
      <c r="D1854" t="inlineStr">
        <is>
          <t>ÖSTERGÖTLANDS LÄN</t>
        </is>
      </c>
      <c r="E1854" t="inlineStr">
        <is>
          <t>MOTALA</t>
        </is>
      </c>
      <c r="G1854" t="n">
        <v>16.2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s="2" t="inlineStr"/>
    </row>
    <row r="1855" ht="15" customHeight="1">
      <c r="A1855" t="inlineStr">
        <is>
          <t>A 4977-2020</t>
        </is>
      </c>
      <c r="B1855" s="1" t="n">
        <v>43859</v>
      </c>
      <c r="C1855" s="1" t="n">
        <v>45211</v>
      </c>
      <c r="D1855" t="inlineStr">
        <is>
          <t>ÖSTERGÖTLANDS LÄN</t>
        </is>
      </c>
      <c r="E1855" t="inlineStr">
        <is>
          <t>SÖDERKÖPING</t>
        </is>
      </c>
      <c r="G1855" t="n">
        <v>1.2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s="2" t="inlineStr"/>
    </row>
    <row r="1856" ht="15" customHeight="1">
      <c r="A1856" t="inlineStr">
        <is>
          <t>A 5042-2020</t>
        </is>
      </c>
      <c r="B1856" s="1" t="n">
        <v>43859</v>
      </c>
      <c r="C1856" s="1" t="n">
        <v>45211</v>
      </c>
      <c r="D1856" t="inlineStr">
        <is>
          <t>ÖSTERGÖTLANDS LÄN</t>
        </is>
      </c>
      <c r="E1856" t="inlineStr">
        <is>
          <t>LINKÖPING</t>
        </is>
      </c>
      <c r="F1856" t="inlineStr">
        <is>
          <t>Övriga Aktiebolag</t>
        </is>
      </c>
      <c r="G1856" t="n">
        <v>4.4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s="2" t="inlineStr"/>
    </row>
    <row r="1857" ht="15" customHeight="1">
      <c r="A1857" t="inlineStr">
        <is>
          <t>A 5091-2020</t>
        </is>
      </c>
      <c r="B1857" s="1" t="n">
        <v>43859</v>
      </c>
      <c r="C1857" s="1" t="n">
        <v>45211</v>
      </c>
      <c r="D1857" t="inlineStr">
        <is>
          <t>ÖSTERGÖTLANDS LÄN</t>
        </is>
      </c>
      <c r="E1857" t="inlineStr">
        <is>
          <t>FINSPÅNG</t>
        </is>
      </c>
      <c r="G1857" t="n">
        <v>1.3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s="2" t="inlineStr"/>
    </row>
    <row r="1858" ht="15" customHeight="1">
      <c r="A1858" t="inlineStr">
        <is>
          <t>A 5381-2020</t>
        </is>
      </c>
      <c r="B1858" s="1" t="n">
        <v>43860</v>
      </c>
      <c r="C1858" s="1" t="n">
        <v>45211</v>
      </c>
      <c r="D1858" t="inlineStr">
        <is>
          <t>ÖSTERGÖTLANDS LÄN</t>
        </is>
      </c>
      <c r="E1858" t="inlineStr">
        <is>
          <t>KINDA</t>
        </is>
      </c>
      <c r="F1858" t="inlineStr">
        <is>
          <t>Kommuner</t>
        </is>
      </c>
      <c r="G1858" t="n">
        <v>1.8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s="2" t="inlineStr"/>
    </row>
    <row r="1859" ht="15" customHeight="1">
      <c r="A1859" t="inlineStr">
        <is>
          <t>A 5294-2020</t>
        </is>
      </c>
      <c r="B1859" s="1" t="n">
        <v>43860</v>
      </c>
      <c r="C1859" s="1" t="n">
        <v>45211</v>
      </c>
      <c r="D1859" t="inlineStr">
        <is>
          <t>ÖSTERGÖTLANDS LÄN</t>
        </is>
      </c>
      <c r="E1859" t="inlineStr">
        <is>
          <t>NORRKÖPING</t>
        </is>
      </c>
      <c r="G1859" t="n">
        <v>10.1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s="2" t="inlineStr"/>
    </row>
    <row r="1860" ht="15" customHeight="1">
      <c r="A1860" t="inlineStr">
        <is>
          <t>A 5371-2020</t>
        </is>
      </c>
      <c r="B1860" s="1" t="n">
        <v>43860</v>
      </c>
      <c r="C1860" s="1" t="n">
        <v>45211</v>
      </c>
      <c r="D1860" t="inlineStr">
        <is>
          <t>ÖSTERGÖTLANDS LÄN</t>
        </is>
      </c>
      <c r="E1860" t="inlineStr">
        <is>
          <t>KINDA</t>
        </is>
      </c>
      <c r="F1860" t="inlineStr">
        <is>
          <t>Kommuner</t>
        </is>
      </c>
      <c r="G1860" t="n">
        <v>2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s="2" t="inlineStr"/>
    </row>
    <row r="1861" ht="15" customHeight="1">
      <c r="A1861" t="inlineStr">
        <is>
          <t>A 5217-2020</t>
        </is>
      </c>
      <c r="B1861" s="1" t="n">
        <v>43860</v>
      </c>
      <c r="C1861" s="1" t="n">
        <v>45211</v>
      </c>
      <c r="D1861" t="inlineStr">
        <is>
          <t>ÖSTERGÖTLANDS LÄN</t>
        </is>
      </c>
      <c r="E1861" t="inlineStr">
        <is>
          <t>VALDEMARSVIK</t>
        </is>
      </c>
      <c r="G1861" t="n">
        <v>3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s="2" t="inlineStr"/>
    </row>
    <row r="1862" ht="15" customHeight="1">
      <c r="A1862" t="inlineStr">
        <is>
          <t>A 5255-2020</t>
        </is>
      </c>
      <c r="B1862" s="1" t="n">
        <v>43860</v>
      </c>
      <c r="C1862" s="1" t="n">
        <v>45211</v>
      </c>
      <c r="D1862" t="inlineStr">
        <is>
          <t>ÖSTERGÖTLANDS LÄN</t>
        </is>
      </c>
      <c r="E1862" t="inlineStr">
        <is>
          <t>LINKÖPING</t>
        </is>
      </c>
      <c r="F1862" t="inlineStr">
        <is>
          <t>Kyrkan</t>
        </is>
      </c>
      <c r="G1862" t="n">
        <v>1.1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s="2" t="inlineStr"/>
    </row>
    <row r="1863" ht="15" customHeight="1">
      <c r="A1863" t="inlineStr">
        <is>
          <t>A 5293-2020</t>
        </is>
      </c>
      <c r="B1863" s="1" t="n">
        <v>43860</v>
      </c>
      <c r="C1863" s="1" t="n">
        <v>45211</v>
      </c>
      <c r="D1863" t="inlineStr">
        <is>
          <t>ÖSTERGÖTLANDS LÄN</t>
        </is>
      </c>
      <c r="E1863" t="inlineStr">
        <is>
          <t>SÖDERKÖPING</t>
        </is>
      </c>
      <c r="G1863" t="n">
        <v>2.1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s="2" t="inlineStr"/>
    </row>
    <row r="1864" ht="15" customHeight="1">
      <c r="A1864" t="inlineStr">
        <is>
          <t>A 5376-2020</t>
        </is>
      </c>
      <c r="B1864" s="1" t="n">
        <v>43860</v>
      </c>
      <c r="C1864" s="1" t="n">
        <v>45211</v>
      </c>
      <c r="D1864" t="inlineStr">
        <is>
          <t>ÖSTERGÖTLANDS LÄN</t>
        </is>
      </c>
      <c r="E1864" t="inlineStr">
        <is>
          <t>KINDA</t>
        </is>
      </c>
      <c r="F1864" t="inlineStr">
        <is>
          <t>Kommuner</t>
        </is>
      </c>
      <c r="G1864" t="n">
        <v>2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s="2" t="inlineStr"/>
    </row>
    <row r="1865" ht="15" customHeight="1">
      <c r="A1865" t="inlineStr">
        <is>
          <t>A 5412-2020</t>
        </is>
      </c>
      <c r="B1865" s="1" t="n">
        <v>43860</v>
      </c>
      <c r="C1865" s="1" t="n">
        <v>45211</v>
      </c>
      <c r="D1865" t="inlineStr">
        <is>
          <t>ÖSTERGÖTLANDS LÄN</t>
        </is>
      </c>
      <c r="E1865" t="inlineStr">
        <is>
          <t>NORRKÖPING</t>
        </is>
      </c>
      <c r="F1865" t="inlineStr">
        <is>
          <t>Holmen skog AB</t>
        </is>
      </c>
      <c r="G1865" t="n">
        <v>0.6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s="2" t="inlineStr"/>
    </row>
    <row r="1866" ht="15" customHeight="1">
      <c r="A1866" t="inlineStr">
        <is>
          <t>A 5305-2020</t>
        </is>
      </c>
      <c r="B1866" s="1" t="n">
        <v>43860</v>
      </c>
      <c r="C1866" s="1" t="n">
        <v>45211</v>
      </c>
      <c r="D1866" t="inlineStr">
        <is>
          <t>ÖSTERGÖTLANDS LÄN</t>
        </is>
      </c>
      <c r="E1866" t="inlineStr">
        <is>
          <t>NORRKÖPING</t>
        </is>
      </c>
      <c r="G1866" t="n">
        <v>6.6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s="2" t="inlineStr"/>
    </row>
    <row r="1867" ht="15" customHeight="1">
      <c r="A1867" t="inlineStr">
        <is>
          <t>A 5374-2020</t>
        </is>
      </c>
      <c r="B1867" s="1" t="n">
        <v>43860</v>
      </c>
      <c r="C1867" s="1" t="n">
        <v>45211</v>
      </c>
      <c r="D1867" t="inlineStr">
        <is>
          <t>ÖSTERGÖTLANDS LÄN</t>
        </is>
      </c>
      <c r="E1867" t="inlineStr">
        <is>
          <t>KINDA</t>
        </is>
      </c>
      <c r="F1867" t="inlineStr">
        <is>
          <t>Kommuner</t>
        </is>
      </c>
      <c r="G1867" t="n">
        <v>0.7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s="2" t="inlineStr"/>
    </row>
    <row r="1868" ht="15" customHeight="1">
      <c r="A1868" t="inlineStr">
        <is>
          <t>A 5386-2020</t>
        </is>
      </c>
      <c r="B1868" s="1" t="n">
        <v>43860</v>
      </c>
      <c r="C1868" s="1" t="n">
        <v>45211</v>
      </c>
      <c r="D1868" t="inlineStr">
        <is>
          <t>ÖSTERGÖTLANDS LÄN</t>
        </is>
      </c>
      <c r="E1868" t="inlineStr">
        <is>
          <t>ÅTVIDABERG</t>
        </is>
      </c>
      <c r="G1868" t="n">
        <v>5.4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s="2" t="inlineStr"/>
    </row>
    <row r="1869" ht="15" customHeight="1">
      <c r="A1869" t="inlineStr">
        <is>
          <t>A 5512-2020</t>
        </is>
      </c>
      <c r="B1869" s="1" t="n">
        <v>43861</v>
      </c>
      <c r="C1869" s="1" t="n">
        <v>45211</v>
      </c>
      <c r="D1869" t="inlineStr">
        <is>
          <t>ÖSTERGÖTLANDS LÄN</t>
        </is>
      </c>
      <c r="E1869" t="inlineStr">
        <is>
          <t>BOXHOLM</t>
        </is>
      </c>
      <c r="G1869" t="n">
        <v>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s="2" t="inlineStr"/>
    </row>
    <row r="1870" ht="15" customHeight="1">
      <c r="A1870" t="inlineStr">
        <is>
          <t>A 5660-2020</t>
        </is>
      </c>
      <c r="B1870" s="1" t="n">
        <v>43861</v>
      </c>
      <c r="C1870" s="1" t="n">
        <v>45211</v>
      </c>
      <c r="D1870" t="inlineStr">
        <is>
          <t>ÖSTERGÖTLANDS LÄN</t>
        </is>
      </c>
      <c r="E1870" t="inlineStr">
        <is>
          <t>SÖDERKÖPING</t>
        </is>
      </c>
      <c r="G1870" t="n">
        <v>0.9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s="2" t="inlineStr"/>
    </row>
    <row r="1871" ht="15" customHeight="1">
      <c r="A1871" t="inlineStr">
        <is>
          <t>A 5730-2020</t>
        </is>
      </c>
      <c r="B1871" s="1" t="n">
        <v>43862</v>
      </c>
      <c r="C1871" s="1" t="n">
        <v>45211</v>
      </c>
      <c r="D1871" t="inlineStr">
        <is>
          <t>ÖSTERGÖTLANDS LÄN</t>
        </is>
      </c>
      <c r="E1871" t="inlineStr">
        <is>
          <t>FINSPÅNG</t>
        </is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s="2" t="inlineStr"/>
    </row>
    <row r="1872" ht="15" customHeight="1">
      <c r="A1872" t="inlineStr">
        <is>
          <t>A 5939-2020</t>
        </is>
      </c>
      <c r="B1872" s="1" t="n">
        <v>43864</v>
      </c>
      <c r="C1872" s="1" t="n">
        <v>45211</v>
      </c>
      <c r="D1872" t="inlineStr">
        <is>
          <t>ÖSTERGÖTLANDS LÄN</t>
        </is>
      </c>
      <c r="E1872" t="inlineStr">
        <is>
          <t>ÅTVIDABERG</t>
        </is>
      </c>
      <c r="G1872" t="n">
        <v>5.1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s="2" t="inlineStr"/>
    </row>
    <row r="1873" ht="15" customHeight="1">
      <c r="A1873" t="inlineStr">
        <is>
          <t>A 6000-2020</t>
        </is>
      </c>
      <c r="B1873" s="1" t="n">
        <v>43864</v>
      </c>
      <c r="C1873" s="1" t="n">
        <v>45211</v>
      </c>
      <c r="D1873" t="inlineStr">
        <is>
          <t>ÖSTERGÖTLANDS LÄN</t>
        </is>
      </c>
      <c r="E1873" t="inlineStr">
        <is>
          <t>NORRKÖPING</t>
        </is>
      </c>
      <c r="G1873" t="n">
        <v>1.1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s="2" t="inlineStr"/>
    </row>
    <row r="1874" ht="15" customHeight="1">
      <c r="A1874" t="inlineStr">
        <is>
          <t>A 5909-2020</t>
        </is>
      </c>
      <c r="B1874" s="1" t="n">
        <v>43864</v>
      </c>
      <c r="C1874" s="1" t="n">
        <v>45211</v>
      </c>
      <c r="D1874" t="inlineStr">
        <is>
          <t>ÖSTERGÖTLANDS LÄN</t>
        </is>
      </c>
      <c r="E1874" t="inlineStr">
        <is>
          <t>LINKÖPING</t>
        </is>
      </c>
      <c r="G1874" t="n">
        <v>5.5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s="2" t="inlineStr"/>
    </row>
    <row r="1875" ht="15" customHeight="1">
      <c r="A1875" t="inlineStr">
        <is>
          <t>A 5942-2020</t>
        </is>
      </c>
      <c r="B1875" s="1" t="n">
        <v>43864</v>
      </c>
      <c r="C1875" s="1" t="n">
        <v>45211</v>
      </c>
      <c r="D1875" t="inlineStr">
        <is>
          <t>ÖSTERGÖTLANDS LÄN</t>
        </is>
      </c>
      <c r="E1875" t="inlineStr">
        <is>
          <t>ÅTVIDABERG</t>
        </is>
      </c>
      <c r="G1875" t="n">
        <v>1.3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s="2" t="inlineStr"/>
    </row>
    <row r="1876" ht="15" customHeight="1">
      <c r="A1876" t="inlineStr">
        <is>
          <t>A 6379-2020</t>
        </is>
      </c>
      <c r="B1876" s="1" t="n">
        <v>43864</v>
      </c>
      <c r="C1876" s="1" t="n">
        <v>45211</v>
      </c>
      <c r="D1876" t="inlineStr">
        <is>
          <t>ÖSTERGÖTLANDS LÄN</t>
        </is>
      </c>
      <c r="E1876" t="inlineStr">
        <is>
          <t>FINSPÅNG</t>
        </is>
      </c>
      <c r="G1876" t="n">
        <v>5.2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s="2" t="inlineStr"/>
    </row>
    <row r="1877" ht="15" customHeight="1">
      <c r="A1877" t="inlineStr">
        <is>
          <t>A 5912-2020</t>
        </is>
      </c>
      <c r="B1877" s="1" t="n">
        <v>43864</v>
      </c>
      <c r="C1877" s="1" t="n">
        <v>45211</v>
      </c>
      <c r="D1877" t="inlineStr">
        <is>
          <t>ÖSTERGÖTLANDS LÄN</t>
        </is>
      </c>
      <c r="E1877" t="inlineStr">
        <is>
          <t>LINKÖPING</t>
        </is>
      </c>
      <c r="G1877" t="n">
        <v>2.5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s="2" t="inlineStr"/>
    </row>
    <row r="1878" ht="15" customHeight="1">
      <c r="A1878" t="inlineStr">
        <is>
          <t>A 5916-2020</t>
        </is>
      </c>
      <c r="B1878" s="1" t="n">
        <v>43864</v>
      </c>
      <c r="C1878" s="1" t="n">
        <v>45211</v>
      </c>
      <c r="D1878" t="inlineStr">
        <is>
          <t>ÖSTERGÖTLANDS LÄN</t>
        </is>
      </c>
      <c r="E1878" t="inlineStr">
        <is>
          <t>LINKÖPING</t>
        </is>
      </c>
      <c r="G1878" t="n">
        <v>2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s="2" t="inlineStr"/>
    </row>
    <row r="1879" ht="15" customHeight="1">
      <c r="A1879" t="inlineStr">
        <is>
          <t>A 5982-2020</t>
        </is>
      </c>
      <c r="B1879" s="1" t="n">
        <v>43865</v>
      </c>
      <c r="C1879" s="1" t="n">
        <v>45211</v>
      </c>
      <c r="D1879" t="inlineStr">
        <is>
          <t>ÖSTERGÖTLANDS LÄN</t>
        </is>
      </c>
      <c r="E1879" t="inlineStr">
        <is>
          <t>LINKÖPING</t>
        </is>
      </c>
      <c r="G1879" t="n">
        <v>0.4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s="2" t="inlineStr"/>
    </row>
    <row r="1880" ht="15" customHeight="1">
      <c r="A1880" t="inlineStr">
        <is>
          <t>A 6199-2020</t>
        </is>
      </c>
      <c r="B1880" s="1" t="n">
        <v>43865</v>
      </c>
      <c r="C1880" s="1" t="n">
        <v>45211</v>
      </c>
      <c r="D1880" t="inlineStr">
        <is>
          <t>ÖSTERGÖTLANDS LÄN</t>
        </is>
      </c>
      <c r="E1880" t="inlineStr">
        <is>
          <t>KINDA</t>
        </is>
      </c>
      <c r="G1880" t="n">
        <v>1.5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s="2" t="inlineStr"/>
    </row>
    <row r="1881" ht="15" customHeight="1">
      <c r="A1881" t="inlineStr">
        <is>
          <t>A 6654-2020</t>
        </is>
      </c>
      <c r="B1881" s="1" t="n">
        <v>43865</v>
      </c>
      <c r="C1881" s="1" t="n">
        <v>45211</v>
      </c>
      <c r="D1881" t="inlineStr">
        <is>
          <t>ÖSTERGÖTLANDS LÄN</t>
        </is>
      </c>
      <c r="E1881" t="inlineStr">
        <is>
          <t>VALDEMARSVIK</t>
        </is>
      </c>
      <c r="F1881" t="inlineStr">
        <is>
          <t>Övriga Aktiebolag</t>
        </is>
      </c>
      <c r="G1881" t="n">
        <v>4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s="2" t="inlineStr"/>
    </row>
    <row r="1882" ht="15" customHeight="1">
      <c r="A1882" t="inlineStr">
        <is>
          <t>A 5979-2020</t>
        </is>
      </c>
      <c r="B1882" s="1" t="n">
        <v>43865</v>
      </c>
      <c r="C1882" s="1" t="n">
        <v>45211</v>
      </c>
      <c r="D1882" t="inlineStr">
        <is>
          <t>ÖSTERGÖTLANDS LÄN</t>
        </is>
      </c>
      <c r="E1882" t="inlineStr">
        <is>
          <t>BOXHOLM</t>
        </is>
      </c>
      <c r="F1882" t="inlineStr">
        <is>
          <t>Övriga Aktiebolag</t>
        </is>
      </c>
      <c r="G1882" t="n">
        <v>2.3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s="2" t="inlineStr"/>
    </row>
    <row r="1883" ht="15" customHeight="1">
      <c r="A1883" t="inlineStr">
        <is>
          <t>A 6076-2020</t>
        </is>
      </c>
      <c r="B1883" s="1" t="n">
        <v>43865</v>
      </c>
      <c r="C1883" s="1" t="n">
        <v>45211</v>
      </c>
      <c r="D1883" t="inlineStr">
        <is>
          <t>ÖSTERGÖTLANDS LÄN</t>
        </is>
      </c>
      <c r="E1883" t="inlineStr">
        <is>
          <t>BOXHOLM</t>
        </is>
      </c>
      <c r="G1883" t="n">
        <v>0.4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s="2" t="inlineStr"/>
    </row>
    <row r="1884" ht="15" customHeight="1">
      <c r="A1884" t="inlineStr">
        <is>
          <t>A 6180-2020</t>
        </is>
      </c>
      <c r="B1884" s="1" t="n">
        <v>43865</v>
      </c>
      <c r="C1884" s="1" t="n">
        <v>45211</v>
      </c>
      <c r="D1884" t="inlineStr">
        <is>
          <t>ÖSTERGÖTLANDS LÄN</t>
        </is>
      </c>
      <c r="E1884" t="inlineStr">
        <is>
          <t>SÖDERKÖPING</t>
        </is>
      </c>
      <c r="G1884" t="n">
        <v>3.7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s="2" t="inlineStr"/>
    </row>
    <row r="1885" ht="15" customHeight="1">
      <c r="A1885" t="inlineStr">
        <is>
          <t>A 6201-2020</t>
        </is>
      </c>
      <c r="B1885" s="1" t="n">
        <v>43865</v>
      </c>
      <c r="C1885" s="1" t="n">
        <v>45211</v>
      </c>
      <c r="D1885" t="inlineStr">
        <is>
          <t>ÖSTERGÖTLANDS LÄN</t>
        </is>
      </c>
      <c r="E1885" t="inlineStr">
        <is>
          <t>FINSPÅNG</t>
        </is>
      </c>
      <c r="G1885" t="n">
        <v>3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s="2" t="inlineStr"/>
    </row>
    <row r="1886" ht="15" customHeight="1">
      <c r="A1886" t="inlineStr">
        <is>
          <t>A 6647-2020</t>
        </is>
      </c>
      <c r="B1886" s="1" t="n">
        <v>43865</v>
      </c>
      <c r="C1886" s="1" t="n">
        <v>45211</v>
      </c>
      <c r="D1886" t="inlineStr">
        <is>
          <t>ÖSTERGÖTLANDS LÄN</t>
        </is>
      </c>
      <c r="E1886" t="inlineStr">
        <is>
          <t>VALDEMARSVIK</t>
        </is>
      </c>
      <c r="F1886" t="inlineStr">
        <is>
          <t>Övriga Aktiebolag</t>
        </is>
      </c>
      <c r="G1886" t="n">
        <v>2.2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s="2" t="inlineStr"/>
    </row>
    <row r="1887" ht="15" customHeight="1">
      <c r="A1887" t="inlineStr">
        <is>
          <t>A 5981-2020</t>
        </is>
      </c>
      <c r="B1887" s="1" t="n">
        <v>43865</v>
      </c>
      <c r="C1887" s="1" t="n">
        <v>45211</v>
      </c>
      <c r="D1887" t="inlineStr">
        <is>
          <t>ÖSTERGÖTLANDS LÄN</t>
        </is>
      </c>
      <c r="E1887" t="inlineStr">
        <is>
          <t>LINKÖPING</t>
        </is>
      </c>
      <c r="G1887" t="n">
        <v>0.2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s="2" t="inlineStr"/>
    </row>
    <row r="1888" ht="15" customHeight="1">
      <c r="A1888" t="inlineStr">
        <is>
          <t>A 6665-2020</t>
        </is>
      </c>
      <c r="B1888" s="1" t="n">
        <v>43865</v>
      </c>
      <c r="C1888" s="1" t="n">
        <v>45211</v>
      </c>
      <c r="D1888" t="inlineStr">
        <is>
          <t>ÖSTERGÖTLANDS LÄN</t>
        </is>
      </c>
      <c r="E1888" t="inlineStr">
        <is>
          <t>VALDEMARSVIK</t>
        </is>
      </c>
      <c r="F1888" t="inlineStr">
        <is>
          <t>Övriga Aktiebolag</t>
        </is>
      </c>
      <c r="G1888" t="n">
        <v>2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s="2" t="inlineStr"/>
    </row>
    <row r="1889" ht="15" customHeight="1">
      <c r="A1889" t="inlineStr">
        <is>
          <t>A 6460-2020</t>
        </is>
      </c>
      <c r="B1889" s="1" t="n">
        <v>43866</v>
      </c>
      <c r="C1889" s="1" t="n">
        <v>45211</v>
      </c>
      <c r="D1889" t="inlineStr">
        <is>
          <t>ÖSTERGÖTLANDS LÄN</t>
        </is>
      </c>
      <c r="E1889" t="inlineStr">
        <is>
          <t>YDRE</t>
        </is>
      </c>
      <c r="G1889" t="n">
        <v>2.3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s="2" t="inlineStr"/>
    </row>
    <row r="1890" ht="15" customHeight="1">
      <c r="A1890" t="inlineStr">
        <is>
          <t>A 6414-2020</t>
        </is>
      </c>
      <c r="B1890" s="1" t="n">
        <v>43866</v>
      </c>
      <c r="C1890" s="1" t="n">
        <v>45211</v>
      </c>
      <c r="D1890" t="inlineStr">
        <is>
          <t>ÖSTERGÖTLANDS LÄN</t>
        </is>
      </c>
      <c r="E1890" t="inlineStr">
        <is>
          <t>NORRKÖPING</t>
        </is>
      </c>
      <c r="F1890" t="inlineStr">
        <is>
          <t>Kommuner</t>
        </is>
      </c>
      <c r="G1890" t="n">
        <v>5.8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s="2" t="inlineStr"/>
    </row>
    <row r="1891" ht="15" customHeight="1">
      <c r="A1891" t="inlineStr">
        <is>
          <t>A 6429-2020</t>
        </is>
      </c>
      <c r="B1891" s="1" t="n">
        <v>43866</v>
      </c>
      <c r="C1891" s="1" t="n">
        <v>45211</v>
      </c>
      <c r="D1891" t="inlineStr">
        <is>
          <t>ÖSTERGÖTLANDS LÄN</t>
        </is>
      </c>
      <c r="E1891" t="inlineStr">
        <is>
          <t>YDRE</t>
        </is>
      </c>
      <c r="G1891" t="n">
        <v>1.9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s="2" t="inlineStr"/>
    </row>
    <row r="1892" ht="15" customHeight="1">
      <c r="A1892" t="inlineStr">
        <is>
          <t>A 6300-2020</t>
        </is>
      </c>
      <c r="B1892" s="1" t="n">
        <v>43866</v>
      </c>
      <c r="C1892" s="1" t="n">
        <v>45211</v>
      </c>
      <c r="D1892" t="inlineStr">
        <is>
          <t>ÖSTERGÖTLANDS LÄN</t>
        </is>
      </c>
      <c r="E1892" t="inlineStr">
        <is>
          <t>FINSPÅNG</t>
        </is>
      </c>
      <c r="F1892" t="inlineStr">
        <is>
          <t>Holmen skog AB</t>
        </is>
      </c>
      <c r="G1892" t="n">
        <v>0.6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s="2" t="inlineStr"/>
    </row>
    <row r="1893" ht="15" customHeight="1">
      <c r="A1893" t="inlineStr">
        <is>
          <t>A 6338-2020</t>
        </is>
      </c>
      <c r="B1893" s="1" t="n">
        <v>43866</v>
      </c>
      <c r="C1893" s="1" t="n">
        <v>45211</v>
      </c>
      <c r="D1893" t="inlineStr">
        <is>
          <t>ÖSTERGÖTLANDS LÄN</t>
        </is>
      </c>
      <c r="E1893" t="inlineStr">
        <is>
          <t>NORRKÖPING</t>
        </is>
      </c>
      <c r="F1893" t="inlineStr">
        <is>
          <t>Holmen skog AB</t>
        </is>
      </c>
      <c r="G1893" t="n">
        <v>0.3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s="2" t="inlineStr"/>
    </row>
    <row r="1894" ht="15" customHeight="1">
      <c r="A1894" t="inlineStr">
        <is>
          <t>A 6838-2020</t>
        </is>
      </c>
      <c r="B1894" s="1" t="n">
        <v>43866</v>
      </c>
      <c r="C1894" s="1" t="n">
        <v>45211</v>
      </c>
      <c r="D1894" t="inlineStr">
        <is>
          <t>ÖSTERGÖTLANDS LÄN</t>
        </is>
      </c>
      <c r="E1894" t="inlineStr">
        <is>
          <t>KINDA</t>
        </is>
      </c>
      <c r="G1894" t="n">
        <v>1.3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s="2" t="inlineStr"/>
    </row>
    <row r="1895" ht="15" customHeight="1">
      <c r="A1895" t="inlineStr">
        <is>
          <t>A 6254-2020</t>
        </is>
      </c>
      <c r="B1895" s="1" t="n">
        <v>43866</v>
      </c>
      <c r="C1895" s="1" t="n">
        <v>45211</v>
      </c>
      <c r="D1895" t="inlineStr">
        <is>
          <t>ÖSTERGÖTLANDS LÄN</t>
        </is>
      </c>
      <c r="E1895" t="inlineStr">
        <is>
          <t>FINSPÅNG</t>
        </is>
      </c>
      <c r="F1895" t="inlineStr">
        <is>
          <t>Holmen skog AB</t>
        </is>
      </c>
      <c r="G1895" t="n">
        <v>0.4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s="2" t="inlineStr"/>
    </row>
    <row r="1896" ht="15" customHeight="1">
      <c r="A1896" t="inlineStr">
        <is>
          <t>A 6472-2020</t>
        </is>
      </c>
      <c r="B1896" s="1" t="n">
        <v>43866</v>
      </c>
      <c r="C1896" s="1" t="n">
        <v>45211</v>
      </c>
      <c r="D1896" t="inlineStr">
        <is>
          <t>ÖSTERGÖTLANDS LÄN</t>
        </is>
      </c>
      <c r="E1896" t="inlineStr">
        <is>
          <t>VALDEMARSVIK</t>
        </is>
      </c>
      <c r="G1896" t="n">
        <v>1.1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s="2" t="inlineStr"/>
    </row>
    <row r="1897" ht="15" customHeight="1">
      <c r="A1897" t="inlineStr">
        <is>
          <t>A 6528-2020</t>
        </is>
      </c>
      <c r="B1897" s="1" t="n">
        <v>43866</v>
      </c>
      <c r="C1897" s="1" t="n">
        <v>45211</v>
      </c>
      <c r="D1897" t="inlineStr">
        <is>
          <t>ÖSTERGÖTLANDS LÄN</t>
        </is>
      </c>
      <c r="E1897" t="inlineStr">
        <is>
          <t>MOTALA</t>
        </is>
      </c>
      <c r="G1897" t="n">
        <v>4.8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s="2" t="inlineStr"/>
    </row>
    <row r="1898" ht="15" customHeight="1">
      <c r="A1898" t="inlineStr">
        <is>
          <t>A 6627-2020</t>
        </is>
      </c>
      <c r="B1898" s="1" t="n">
        <v>43867</v>
      </c>
      <c r="C1898" s="1" t="n">
        <v>45211</v>
      </c>
      <c r="D1898" t="inlineStr">
        <is>
          <t>ÖSTERGÖTLANDS LÄN</t>
        </is>
      </c>
      <c r="E1898" t="inlineStr">
        <is>
          <t>ÖDESHÖG</t>
        </is>
      </c>
      <c r="G1898" t="n">
        <v>0.5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s="2" t="inlineStr"/>
    </row>
    <row r="1899" ht="15" customHeight="1">
      <c r="A1899" t="inlineStr">
        <is>
          <t>A 6967-2020</t>
        </is>
      </c>
      <c r="B1899" s="1" t="n">
        <v>43867</v>
      </c>
      <c r="C1899" s="1" t="n">
        <v>45211</v>
      </c>
      <c r="D1899" t="inlineStr">
        <is>
          <t>ÖSTERGÖTLANDS LÄN</t>
        </is>
      </c>
      <c r="E1899" t="inlineStr">
        <is>
          <t>YDRE</t>
        </is>
      </c>
      <c r="G1899" t="n">
        <v>0.9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s="2" t="inlineStr"/>
    </row>
    <row r="1900" ht="15" customHeight="1">
      <c r="A1900" t="inlineStr">
        <is>
          <t>A 6651-2020</t>
        </is>
      </c>
      <c r="B1900" s="1" t="n">
        <v>43867</v>
      </c>
      <c r="C1900" s="1" t="n">
        <v>45211</v>
      </c>
      <c r="D1900" t="inlineStr">
        <is>
          <t>ÖSTERGÖTLANDS LÄN</t>
        </is>
      </c>
      <c r="E1900" t="inlineStr">
        <is>
          <t>YDRE</t>
        </is>
      </c>
      <c r="G1900" t="n">
        <v>4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s="2" t="inlineStr"/>
    </row>
    <row r="1901" ht="15" customHeight="1">
      <c r="A1901" t="inlineStr">
        <is>
          <t>A 6712-2020</t>
        </is>
      </c>
      <c r="B1901" s="1" t="n">
        <v>43867</v>
      </c>
      <c r="C1901" s="1" t="n">
        <v>45211</v>
      </c>
      <c r="D1901" t="inlineStr">
        <is>
          <t>ÖSTERGÖTLANDS LÄN</t>
        </is>
      </c>
      <c r="E1901" t="inlineStr">
        <is>
          <t>SÖDERKÖPING</t>
        </is>
      </c>
      <c r="G1901" t="n">
        <v>5.4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s="2" t="inlineStr"/>
    </row>
    <row r="1902" ht="15" customHeight="1">
      <c r="A1902" t="inlineStr">
        <is>
          <t>A 6624-2020</t>
        </is>
      </c>
      <c r="B1902" s="1" t="n">
        <v>43867</v>
      </c>
      <c r="C1902" s="1" t="n">
        <v>45211</v>
      </c>
      <c r="D1902" t="inlineStr">
        <is>
          <t>ÖSTERGÖTLANDS LÄN</t>
        </is>
      </c>
      <c r="E1902" t="inlineStr">
        <is>
          <t>ÖDESHÖG</t>
        </is>
      </c>
      <c r="G1902" t="n">
        <v>1.3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s="2" t="inlineStr"/>
    </row>
    <row r="1903" ht="15" customHeight="1">
      <c r="A1903" t="inlineStr">
        <is>
          <t>A 6671-2020</t>
        </is>
      </c>
      <c r="B1903" s="1" t="n">
        <v>43867</v>
      </c>
      <c r="C1903" s="1" t="n">
        <v>45211</v>
      </c>
      <c r="D1903" t="inlineStr">
        <is>
          <t>ÖSTERGÖTLANDS LÄN</t>
        </is>
      </c>
      <c r="E1903" t="inlineStr">
        <is>
          <t>YDRE</t>
        </is>
      </c>
      <c r="G1903" t="n">
        <v>4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s="2" t="inlineStr"/>
    </row>
    <row r="1904" ht="15" customHeight="1">
      <c r="A1904" t="inlineStr">
        <is>
          <t>A 6708-2020</t>
        </is>
      </c>
      <c r="B1904" s="1" t="n">
        <v>43867</v>
      </c>
      <c r="C1904" s="1" t="n">
        <v>45211</v>
      </c>
      <c r="D1904" t="inlineStr">
        <is>
          <t>ÖSTERGÖTLANDS LÄN</t>
        </is>
      </c>
      <c r="E1904" t="inlineStr">
        <is>
          <t>SÖDERKÖPING</t>
        </is>
      </c>
      <c r="G1904" t="n">
        <v>9.6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s="2" t="inlineStr"/>
    </row>
    <row r="1905" ht="15" customHeight="1">
      <c r="A1905" t="inlineStr">
        <is>
          <t>A 6970-2020</t>
        </is>
      </c>
      <c r="B1905" s="1" t="n">
        <v>43867</v>
      </c>
      <c r="C1905" s="1" t="n">
        <v>45211</v>
      </c>
      <c r="D1905" t="inlineStr">
        <is>
          <t>ÖSTERGÖTLANDS LÄN</t>
        </is>
      </c>
      <c r="E1905" t="inlineStr">
        <is>
          <t>YDRE</t>
        </is>
      </c>
      <c r="G1905" t="n">
        <v>1.3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s="2" t="inlineStr"/>
    </row>
    <row r="1906" ht="15" customHeight="1">
      <c r="A1906" t="inlineStr">
        <is>
          <t>A 7062-2020</t>
        </is>
      </c>
      <c r="B1906" s="1" t="n">
        <v>43868</v>
      </c>
      <c r="C1906" s="1" t="n">
        <v>45211</v>
      </c>
      <c r="D1906" t="inlineStr">
        <is>
          <t>ÖSTERGÖTLANDS LÄN</t>
        </is>
      </c>
      <c r="E1906" t="inlineStr">
        <is>
          <t>KINDA</t>
        </is>
      </c>
      <c r="G1906" t="n">
        <v>1.4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s="2" t="inlineStr"/>
    </row>
    <row r="1907" ht="15" customHeight="1">
      <c r="A1907" t="inlineStr">
        <is>
          <t>A 7095-2020</t>
        </is>
      </c>
      <c r="B1907" s="1" t="n">
        <v>43868</v>
      </c>
      <c r="C1907" s="1" t="n">
        <v>45211</v>
      </c>
      <c r="D1907" t="inlineStr">
        <is>
          <t>ÖSTERGÖTLANDS LÄN</t>
        </is>
      </c>
      <c r="E1907" t="inlineStr">
        <is>
          <t>VALDEMARSVIK</t>
        </is>
      </c>
      <c r="G1907" t="n">
        <v>5.4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s="2" t="inlineStr"/>
    </row>
    <row r="1908" ht="15" customHeight="1">
      <c r="A1908" t="inlineStr">
        <is>
          <t>A 6958-2020</t>
        </is>
      </c>
      <c r="B1908" s="1" t="n">
        <v>43868</v>
      </c>
      <c r="C1908" s="1" t="n">
        <v>45211</v>
      </c>
      <c r="D1908" t="inlineStr">
        <is>
          <t>ÖSTERGÖTLANDS LÄN</t>
        </is>
      </c>
      <c r="E1908" t="inlineStr">
        <is>
          <t>ÖDESHÖG</t>
        </is>
      </c>
      <c r="F1908" t="inlineStr">
        <is>
          <t>Allmännings- och besparingsskogar</t>
        </is>
      </c>
      <c r="G1908" t="n">
        <v>0.9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s="2" t="inlineStr"/>
    </row>
    <row r="1909" ht="15" customHeight="1">
      <c r="A1909" t="inlineStr">
        <is>
          <t>A 6900-2020</t>
        </is>
      </c>
      <c r="B1909" s="1" t="n">
        <v>43868</v>
      </c>
      <c r="C1909" s="1" t="n">
        <v>45211</v>
      </c>
      <c r="D1909" t="inlineStr">
        <is>
          <t>ÖSTERGÖTLANDS LÄN</t>
        </is>
      </c>
      <c r="E1909" t="inlineStr">
        <is>
          <t>NORRKÖPING</t>
        </is>
      </c>
      <c r="F1909" t="inlineStr">
        <is>
          <t>Holmen skog AB</t>
        </is>
      </c>
      <c r="G1909" t="n">
        <v>0.5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s="2" t="inlineStr"/>
    </row>
    <row r="1910" ht="15" customHeight="1">
      <c r="A1910" t="inlineStr">
        <is>
          <t>A 6951-2020</t>
        </is>
      </c>
      <c r="B1910" s="1" t="n">
        <v>43868</v>
      </c>
      <c r="C1910" s="1" t="n">
        <v>45211</v>
      </c>
      <c r="D1910" t="inlineStr">
        <is>
          <t>ÖSTERGÖTLANDS LÄN</t>
        </is>
      </c>
      <c r="E1910" t="inlineStr">
        <is>
          <t>NORRKÖPING</t>
        </is>
      </c>
      <c r="F1910" t="inlineStr">
        <is>
          <t>Holmen skog AB</t>
        </is>
      </c>
      <c r="G1910" t="n">
        <v>0.5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s="2" t="inlineStr"/>
    </row>
    <row r="1911" ht="15" customHeight="1">
      <c r="A1911" t="inlineStr">
        <is>
          <t>A 7080-2020</t>
        </is>
      </c>
      <c r="B1911" s="1" t="n">
        <v>43868</v>
      </c>
      <c r="C1911" s="1" t="n">
        <v>45211</v>
      </c>
      <c r="D1911" t="inlineStr">
        <is>
          <t>ÖSTERGÖTLANDS LÄN</t>
        </is>
      </c>
      <c r="E1911" t="inlineStr">
        <is>
          <t>KINDA</t>
        </is>
      </c>
      <c r="G1911" t="n">
        <v>0.5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s="2" t="inlineStr"/>
    </row>
    <row r="1912" ht="15" customHeight="1">
      <c r="A1912" t="inlineStr">
        <is>
          <t>A 7243-2020</t>
        </is>
      </c>
      <c r="B1912" s="1" t="n">
        <v>43868</v>
      </c>
      <c r="C1912" s="1" t="n">
        <v>45211</v>
      </c>
      <c r="D1912" t="inlineStr">
        <is>
          <t>ÖSTERGÖTLANDS LÄN</t>
        </is>
      </c>
      <c r="E1912" t="inlineStr">
        <is>
          <t>KINDA</t>
        </is>
      </c>
      <c r="G1912" t="n">
        <v>5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s="2" t="inlineStr"/>
    </row>
    <row r="1913" ht="15" customHeight="1">
      <c r="A1913" t="inlineStr">
        <is>
          <t>A 7327-2020</t>
        </is>
      </c>
      <c r="B1913" s="1" t="n">
        <v>43868</v>
      </c>
      <c r="C1913" s="1" t="n">
        <v>45211</v>
      </c>
      <c r="D1913" t="inlineStr">
        <is>
          <t>ÖSTERGÖTLANDS LÄN</t>
        </is>
      </c>
      <c r="E1913" t="inlineStr">
        <is>
          <t>VALDEMARSVIK</t>
        </is>
      </c>
      <c r="G1913" t="n">
        <v>1.3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s="2" t="inlineStr"/>
    </row>
    <row r="1914" ht="15" customHeight="1">
      <c r="A1914" t="inlineStr">
        <is>
          <t>A 6956-2020</t>
        </is>
      </c>
      <c r="B1914" s="1" t="n">
        <v>43868</v>
      </c>
      <c r="C1914" s="1" t="n">
        <v>45211</v>
      </c>
      <c r="D1914" t="inlineStr">
        <is>
          <t>ÖSTERGÖTLANDS LÄN</t>
        </is>
      </c>
      <c r="E1914" t="inlineStr">
        <is>
          <t>ÖDESHÖG</t>
        </is>
      </c>
      <c r="F1914" t="inlineStr">
        <is>
          <t>Allmännings- och besparingsskogar</t>
        </is>
      </c>
      <c r="G1914" t="n">
        <v>1.3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s="2" t="inlineStr"/>
    </row>
    <row r="1915" ht="15" customHeight="1">
      <c r="A1915" t="inlineStr">
        <is>
          <t>A 7096-2020</t>
        </is>
      </c>
      <c r="B1915" s="1" t="n">
        <v>43868</v>
      </c>
      <c r="C1915" s="1" t="n">
        <v>45211</v>
      </c>
      <c r="D1915" t="inlineStr">
        <is>
          <t>ÖSTERGÖTLANDS LÄN</t>
        </is>
      </c>
      <c r="E1915" t="inlineStr">
        <is>
          <t>KINDA</t>
        </is>
      </c>
      <c r="G1915" t="n">
        <v>3.1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s="2" t="inlineStr"/>
    </row>
    <row r="1916" ht="15" customHeight="1">
      <c r="A1916" t="inlineStr">
        <is>
          <t>A 7254-2020</t>
        </is>
      </c>
      <c r="B1916" s="1" t="n">
        <v>43871</v>
      </c>
      <c r="C1916" s="1" t="n">
        <v>45211</v>
      </c>
      <c r="D1916" t="inlineStr">
        <is>
          <t>ÖSTERGÖTLANDS LÄN</t>
        </is>
      </c>
      <c r="E1916" t="inlineStr">
        <is>
          <t>ÅTVIDABERG</t>
        </is>
      </c>
      <c r="G1916" t="n">
        <v>3.3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s="2" t="inlineStr"/>
    </row>
    <row r="1917" ht="15" customHeight="1">
      <c r="A1917" t="inlineStr">
        <is>
          <t>A 7468-2020</t>
        </is>
      </c>
      <c r="B1917" s="1" t="n">
        <v>43871</v>
      </c>
      <c r="C1917" s="1" t="n">
        <v>45211</v>
      </c>
      <c r="D1917" t="inlineStr">
        <is>
          <t>ÖSTERGÖTLANDS LÄN</t>
        </is>
      </c>
      <c r="E1917" t="inlineStr">
        <is>
          <t>KINDA</t>
        </is>
      </c>
      <c r="G1917" t="n">
        <v>1.7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s="2" t="inlineStr"/>
    </row>
    <row r="1918" ht="15" customHeight="1">
      <c r="A1918" t="inlineStr">
        <is>
          <t>A 7475-2020</t>
        </is>
      </c>
      <c r="B1918" s="1" t="n">
        <v>43871</v>
      </c>
      <c r="C1918" s="1" t="n">
        <v>45211</v>
      </c>
      <c r="D1918" t="inlineStr">
        <is>
          <t>ÖSTERGÖTLANDS LÄN</t>
        </is>
      </c>
      <c r="E1918" t="inlineStr">
        <is>
          <t>KINDA</t>
        </is>
      </c>
      <c r="G1918" t="n">
        <v>1.2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s="2" t="inlineStr"/>
    </row>
    <row r="1919" ht="15" customHeight="1">
      <c r="A1919" t="inlineStr">
        <is>
          <t>A 7481-2020</t>
        </is>
      </c>
      <c r="B1919" s="1" t="n">
        <v>43871</v>
      </c>
      <c r="C1919" s="1" t="n">
        <v>45211</v>
      </c>
      <c r="D1919" t="inlineStr">
        <is>
          <t>ÖSTERGÖTLANDS LÄN</t>
        </is>
      </c>
      <c r="E1919" t="inlineStr">
        <is>
          <t>KINDA</t>
        </is>
      </c>
      <c r="G1919" t="n">
        <v>0.2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s="2" t="inlineStr"/>
    </row>
    <row r="1920" ht="15" customHeight="1">
      <c r="A1920" t="inlineStr">
        <is>
          <t>A 7262-2020</t>
        </is>
      </c>
      <c r="B1920" s="1" t="n">
        <v>43871</v>
      </c>
      <c r="C1920" s="1" t="n">
        <v>45211</v>
      </c>
      <c r="D1920" t="inlineStr">
        <is>
          <t>ÖSTERGÖTLANDS LÄN</t>
        </is>
      </c>
      <c r="E1920" t="inlineStr">
        <is>
          <t>VADSTENA</t>
        </is>
      </c>
      <c r="G1920" t="n">
        <v>1.1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s="2" t="inlineStr"/>
    </row>
    <row r="1921" ht="15" customHeight="1">
      <c r="A1921" t="inlineStr">
        <is>
          <t>A 7363-2020</t>
        </is>
      </c>
      <c r="B1921" s="1" t="n">
        <v>43871</v>
      </c>
      <c r="C1921" s="1" t="n">
        <v>45211</v>
      </c>
      <c r="D1921" t="inlineStr">
        <is>
          <t>ÖSTERGÖTLANDS LÄN</t>
        </is>
      </c>
      <c r="E1921" t="inlineStr">
        <is>
          <t>LINKÖPING</t>
        </is>
      </c>
      <c r="G1921" t="n">
        <v>9.800000000000001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s="2" t="inlineStr"/>
    </row>
    <row r="1922" ht="15" customHeight="1">
      <c r="A1922" t="inlineStr">
        <is>
          <t>A 7384-2020</t>
        </is>
      </c>
      <c r="B1922" s="1" t="n">
        <v>43871</v>
      </c>
      <c r="C1922" s="1" t="n">
        <v>45211</v>
      </c>
      <c r="D1922" t="inlineStr">
        <is>
          <t>ÖSTERGÖTLANDS LÄN</t>
        </is>
      </c>
      <c r="E1922" t="inlineStr">
        <is>
          <t>BOXHOLM</t>
        </is>
      </c>
      <c r="G1922" t="n">
        <v>0.6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s="2" t="inlineStr"/>
    </row>
    <row r="1923" ht="15" customHeight="1">
      <c r="A1923" t="inlineStr">
        <is>
          <t>A 7429-2020</t>
        </is>
      </c>
      <c r="B1923" s="1" t="n">
        <v>43871</v>
      </c>
      <c r="C1923" s="1" t="n">
        <v>45211</v>
      </c>
      <c r="D1923" t="inlineStr">
        <is>
          <t>ÖSTERGÖTLANDS LÄN</t>
        </is>
      </c>
      <c r="E1923" t="inlineStr">
        <is>
          <t>MJÖLBY</t>
        </is>
      </c>
      <c r="G1923" t="n">
        <v>1.1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s="2" t="inlineStr"/>
    </row>
    <row r="1924" ht="15" customHeight="1">
      <c r="A1924" t="inlineStr">
        <is>
          <t>A 7438-2020</t>
        </is>
      </c>
      <c r="B1924" s="1" t="n">
        <v>43871</v>
      </c>
      <c r="C1924" s="1" t="n">
        <v>45211</v>
      </c>
      <c r="D1924" t="inlineStr">
        <is>
          <t>ÖSTERGÖTLANDS LÄN</t>
        </is>
      </c>
      <c r="E1924" t="inlineStr">
        <is>
          <t>MJÖLBY</t>
        </is>
      </c>
      <c r="G1924" t="n">
        <v>0.8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s="2" t="inlineStr"/>
    </row>
    <row r="1925" ht="15" customHeight="1">
      <c r="A1925" t="inlineStr">
        <is>
          <t>A 7469-2020</t>
        </is>
      </c>
      <c r="B1925" s="1" t="n">
        <v>43871</v>
      </c>
      <c r="C1925" s="1" t="n">
        <v>45211</v>
      </c>
      <c r="D1925" t="inlineStr">
        <is>
          <t>ÖSTERGÖTLANDS LÄN</t>
        </is>
      </c>
      <c r="E1925" t="inlineStr">
        <is>
          <t>KINDA</t>
        </is>
      </c>
      <c r="G1925" t="n">
        <v>0.4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s="2" t="inlineStr"/>
    </row>
    <row r="1926" ht="15" customHeight="1">
      <c r="A1926" t="inlineStr">
        <is>
          <t>A 7692-2020</t>
        </is>
      </c>
      <c r="B1926" s="1" t="n">
        <v>43872</v>
      </c>
      <c r="C1926" s="1" t="n">
        <v>45211</v>
      </c>
      <c r="D1926" t="inlineStr">
        <is>
          <t>ÖSTERGÖTLANDS LÄN</t>
        </is>
      </c>
      <c r="E1926" t="inlineStr">
        <is>
          <t>LINKÖPING</t>
        </is>
      </c>
      <c r="F1926" t="inlineStr">
        <is>
          <t>Kyrkan</t>
        </is>
      </c>
      <c r="G1926" t="n">
        <v>1.7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s="2" t="inlineStr"/>
    </row>
    <row r="1927" ht="15" customHeight="1">
      <c r="A1927" t="inlineStr">
        <is>
          <t>A 8033-2020</t>
        </is>
      </c>
      <c r="B1927" s="1" t="n">
        <v>43873</v>
      </c>
      <c r="C1927" s="1" t="n">
        <v>45211</v>
      </c>
      <c r="D1927" t="inlineStr">
        <is>
          <t>ÖSTERGÖTLANDS LÄN</t>
        </is>
      </c>
      <c r="E1927" t="inlineStr">
        <is>
          <t>FINSPÅNG</t>
        </is>
      </c>
      <c r="F1927" t="inlineStr">
        <is>
          <t>Kommuner</t>
        </is>
      </c>
      <c r="G1927" t="n">
        <v>1.4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s="2" t="inlineStr"/>
    </row>
    <row r="1928" ht="15" customHeight="1">
      <c r="A1928" t="inlineStr">
        <is>
          <t>A 8129-2020</t>
        </is>
      </c>
      <c r="B1928" s="1" t="n">
        <v>43874</v>
      </c>
      <c r="C1928" s="1" t="n">
        <v>45211</v>
      </c>
      <c r="D1928" t="inlineStr">
        <is>
          <t>ÖSTERGÖTLANDS LÄN</t>
        </is>
      </c>
      <c r="E1928" t="inlineStr">
        <is>
          <t>LINKÖPING</t>
        </is>
      </c>
      <c r="G1928" t="n">
        <v>15.6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s="2" t="inlineStr"/>
    </row>
    <row r="1929" ht="15" customHeight="1">
      <c r="A1929" t="inlineStr">
        <is>
          <t>A 8156-2020</t>
        </is>
      </c>
      <c r="B1929" s="1" t="n">
        <v>43874</v>
      </c>
      <c r="C1929" s="1" t="n">
        <v>45211</v>
      </c>
      <c r="D1929" t="inlineStr">
        <is>
          <t>ÖSTERGÖTLANDS LÄN</t>
        </is>
      </c>
      <c r="E1929" t="inlineStr">
        <is>
          <t>FINSPÅNG</t>
        </is>
      </c>
      <c r="F1929" t="inlineStr">
        <is>
          <t>Holmen skog AB</t>
        </is>
      </c>
      <c r="G1929" t="n">
        <v>0.6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s="2" t="inlineStr"/>
    </row>
    <row r="1930" ht="15" customHeight="1">
      <c r="A1930" t="inlineStr">
        <is>
          <t>A 8184-2020</t>
        </is>
      </c>
      <c r="B1930" s="1" t="n">
        <v>43874</v>
      </c>
      <c r="C1930" s="1" t="n">
        <v>45211</v>
      </c>
      <c r="D1930" t="inlineStr">
        <is>
          <t>ÖSTERGÖTLANDS LÄN</t>
        </is>
      </c>
      <c r="E1930" t="inlineStr">
        <is>
          <t>FINSPÅNG</t>
        </is>
      </c>
      <c r="F1930" t="inlineStr">
        <is>
          <t>Holmen skog AB</t>
        </is>
      </c>
      <c r="G1930" t="n">
        <v>1.8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s="2" t="inlineStr"/>
    </row>
    <row r="1931" ht="15" customHeight="1">
      <c r="A1931" t="inlineStr">
        <is>
          <t>A 8192-2020</t>
        </is>
      </c>
      <c r="B1931" s="1" t="n">
        <v>43874</v>
      </c>
      <c r="C1931" s="1" t="n">
        <v>45211</v>
      </c>
      <c r="D1931" t="inlineStr">
        <is>
          <t>ÖSTERGÖTLANDS LÄN</t>
        </is>
      </c>
      <c r="E1931" t="inlineStr">
        <is>
          <t>MOTALA</t>
        </is>
      </c>
      <c r="G1931" t="n">
        <v>4.3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s="2" t="inlineStr"/>
    </row>
    <row r="1932" ht="15" customHeight="1">
      <c r="A1932" t="inlineStr">
        <is>
          <t>A 8330-2020</t>
        </is>
      </c>
      <c r="B1932" s="1" t="n">
        <v>43874</v>
      </c>
      <c r="C1932" s="1" t="n">
        <v>45211</v>
      </c>
      <c r="D1932" t="inlineStr">
        <is>
          <t>ÖSTERGÖTLANDS LÄN</t>
        </is>
      </c>
      <c r="E1932" t="inlineStr">
        <is>
          <t>MOTALA</t>
        </is>
      </c>
      <c r="G1932" t="n">
        <v>3.5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s="2" t="inlineStr"/>
    </row>
    <row r="1933" ht="15" customHeight="1">
      <c r="A1933" t="inlineStr">
        <is>
          <t>A 8152-2020</t>
        </is>
      </c>
      <c r="B1933" s="1" t="n">
        <v>43874</v>
      </c>
      <c r="C1933" s="1" t="n">
        <v>45211</v>
      </c>
      <c r="D1933" t="inlineStr">
        <is>
          <t>ÖSTERGÖTLANDS LÄN</t>
        </is>
      </c>
      <c r="E1933" t="inlineStr">
        <is>
          <t>MOTALA</t>
        </is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s="2" t="inlineStr"/>
    </row>
    <row r="1934" ht="15" customHeight="1">
      <c r="A1934" t="inlineStr">
        <is>
          <t>A 8188-2020</t>
        </is>
      </c>
      <c r="B1934" s="1" t="n">
        <v>43874</v>
      </c>
      <c r="C1934" s="1" t="n">
        <v>45211</v>
      </c>
      <c r="D1934" t="inlineStr">
        <is>
          <t>ÖSTERGÖTLANDS LÄN</t>
        </is>
      </c>
      <c r="E1934" t="inlineStr">
        <is>
          <t>MOTALA</t>
        </is>
      </c>
      <c r="G1934" t="n">
        <v>2.8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s="2" t="inlineStr"/>
    </row>
    <row r="1935" ht="15" customHeight="1">
      <c r="A1935" t="inlineStr">
        <is>
          <t>A 8328-2020</t>
        </is>
      </c>
      <c r="B1935" s="1" t="n">
        <v>43875</v>
      </c>
      <c r="C1935" s="1" t="n">
        <v>45211</v>
      </c>
      <c r="D1935" t="inlineStr">
        <is>
          <t>ÖSTERGÖTLANDS LÄN</t>
        </is>
      </c>
      <c r="E1935" t="inlineStr">
        <is>
          <t>YDRE</t>
        </is>
      </c>
      <c r="G1935" t="n">
        <v>1.8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s="2" t="inlineStr"/>
    </row>
    <row r="1936" ht="15" customHeight="1">
      <c r="A1936" t="inlineStr">
        <is>
          <t>A 8499-2020</t>
        </is>
      </c>
      <c r="B1936" s="1" t="n">
        <v>43875</v>
      </c>
      <c r="C1936" s="1" t="n">
        <v>45211</v>
      </c>
      <c r="D1936" t="inlineStr">
        <is>
          <t>ÖSTERGÖTLANDS LÄN</t>
        </is>
      </c>
      <c r="E1936" t="inlineStr">
        <is>
          <t>NORRKÖPING</t>
        </is>
      </c>
      <c r="F1936" t="inlineStr">
        <is>
          <t>Holmen skog AB</t>
        </is>
      </c>
      <c r="G1936" t="n">
        <v>0.3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s="2" t="inlineStr"/>
    </row>
    <row r="1937" ht="15" customHeight="1">
      <c r="A1937" t="inlineStr">
        <is>
          <t>A 8589-2020</t>
        </is>
      </c>
      <c r="B1937" s="1" t="n">
        <v>43875</v>
      </c>
      <c r="C1937" s="1" t="n">
        <v>45211</v>
      </c>
      <c r="D1937" t="inlineStr">
        <is>
          <t>ÖSTERGÖTLANDS LÄN</t>
        </is>
      </c>
      <c r="E1937" t="inlineStr">
        <is>
          <t>BOXHOLM</t>
        </is>
      </c>
      <c r="G1937" t="n">
        <v>3.3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s="2" t="inlineStr"/>
    </row>
    <row r="1938" ht="15" customHeight="1">
      <c r="A1938" t="inlineStr">
        <is>
          <t>A 8324-2020</t>
        </is>
      </c>
      <c r="B1938" s="1" t="n">
        <v>43875</v>
      </c>
      <c r="C1938" s="1" t="n">
        <v>45211</v>
      </c>
      <c r="D1938" t="inlineStr">
        <is>
          <t>ÖSTERGÖTLANDS LÄN</t>
        </is>
      </c>
      <c r="E1938" t="inlineStr">
        <is>
          <t>MJÖLBY</t>
        </is>
      </c>
      <c r="G1938" t="n">
        <v>2.3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s="2" t="inlineStr"/>
    </row>
    <row r="1939" ht="15" customHeight="1">
      <c r="A1939" t="inlineStr">
        <is>
          <t>A 8906-2020</t>
        </is>
      </c>
      <c r="B1939" s="1" t="n">
        <v>43878</v>
      </c>
      <c r="C1939" s="1" t="n">
        <v>45211</v>
      </c>
      <c r="D1939" t="inlineStr">
        <is>
          <t>ÖSTERGÖTLANDS LÄN</t>
        </is>
      </c>
      <c r="E1939" t="inlineStr">
        <is>
          <t>ÖDESHÖG</t>
        </is>
      </c>
      <c r="G1939" t="n">
        <v>4.2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s="2" t="inlineStr"/>
    </row>
    <row r="1940" ht="15" customHeight="1">
      <c r="A1940" t="inlineStr">
        <is>
          <t>A 8690-2020</t>
        </is>
      </c>
      <c r="B1940" s="1" t="n">
        <v>43878</v>
      </c>
      <c r="C1940" s="1" t="n">
        <v>45211</v>
      </c>
      <c r="D1940" t="inlineStr">
        <is>
          <t>ÖSTERGÖTLANDS LÄN</t>
        </is>
      </c>
      <c r="E1940" t="inlineStr">
        <is>
          <t>FINSPÅNG</t>
        </is>
      </c>
      <c r="F1940" t="inlineStr">
        <is>
          <t>Holmen skog AB</t>
        </is>
      </c>
      <c r="G1940" t="n">
        <v>0.5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s="2" t="inlineStr"/>
    </row>
    <row r="1941" ht="15" customHeight="1">
      <c r="A1941" t="inlineStr">
        <is>
          <t>A 8745-2020</t>
        </is>
      </c>
      <c r="B1941" s="1" t="n">
        <v>43878</v>
      </c>
      <c r="C1941" s="1" t="n">
        <v>45211</v>
      </c>
      <c r="D1941" t="inlineStr">
        <is>
          <t>ÖSTERGÖTLANDS LÄN</t>
        </is>
      </c>
      <c r="E1941" t="inlineStr">
        <is>
          <t>LINKÖPING</t>
        </is>
      </c>
      <c r="F1941" t="inlineStr">
        <is>
          <t>Sveaskog</t>
        </is>
      </c>
      <c r="G1941" t="n">
        <v>2.2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s="2" t="inlineStr"/>
    </row>
    <row r="1942" ht="15" customHeight="1">
      <c r="A1942" t="inlineStr">
        <is>
          <t>A 8755-2020</t>
        </is>
      </c>
      <c r="B1942" s="1" t="n">
        <v>43878</v>
      </c>
      <c r="C1942" s="1" t="n">
        <v>45211</v>
      </c>
      <c r="D1942" t="inlineStr">
        <is>
          <t>ÖSTERGÖTLANDS LÄN</t>
        </is>
      </c>
      <c r="E1942" t="inlineStr">
        <is>
          <t>LINKÖPING</t>
        </is>
      </c>
      <c r="F1942" t="inlineStr">
        <is>
          <t>Allmännings- och besparingsskogar</t>
        </is>
      </c>
      <c r="G1942" t="n">
        <v>9.5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s="2" t="inlineStr"/>
    </row>
    <row r="1943" ht="15" customHeight="1">
      <c r="A1943" t="inlineStr">
        <is>
          <t>A 8910-2020</t>
        </is>
      </c>
      <c r="B1943" s="1" t="n">
        <v>43878</v>
      </c>
      <c r="C1943" s="1" t="n">
        <v>45211</v>
      </c>
      <c r="D1943" t="inlineStr">
        <is>
          <t>ÖSTERGÖTLANDS LÄN</t>
        </is>
      </c>
      <c r="E1943" t="inlineStr">
        <is>
          <t>BOXHOLM</t>
        </is>
      </c>
      <c r="G1943" t="n">
        <v>19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s="2" t="inlineStr"/>
    </row>
    <row r="1944" ht="15" customHeight="1">
      <c r="A1944" t="inlineStr">
        <is>
          <t>A 9089-2020</t>
        </is>
      </c>
      <c r="B1944" s="1" t="n">
        <v>43879</v>
      </c>
      <c r="C1944" s="1" t="n">
        <v>45211</v>
      </c>
      <c r="D1944" t="inlineStr">
        <is>
          <t>ÖSTERGÖTLANDS LÄN</t>
        </is>
      </c>
      <c r="E1944" t="inlineStr">
        <is>
          <t>BOXHOLM</t>
        </is>
      </c>
      <c r="G1944" t="n">
        <v>0.4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s="2" t="inlineStr"/>
    </row>
    <row r="1945" ht="15" customHeight="1">
      <c r="A1945" t="inlineStr">
        <is>
          <t>A 9143-2020</t>
        </is>
      </c>
      <c r="B1945" s="1" t="n">
        <v>43879</v>
      </c>
      <c r="C1945" s="1" t="n">
        <v>45211</v>
      </c>
      <c r="D1945" t="inlineStr">
        <is>
          <t>ÖSTERGÖTLANDS LÄN</t>
        </is>
      </c>
      <c r="E1945" t="inlineStr">
        <is>
          <t>NORRKÖPING</t>
        </is>
      </c>
      <c r="G1945" t="n">
        <v>0.8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s="2" t="inlineStr"/>
    </row>
    <row r="1946" ht="15" customHeight="1">
      <c r="A1946" t="inlineStr">
        <is>
          <t>A 9085-2020</t>
        </is>
      </c>
      <c r="B1946" s="1" t="n">
        <v>43879</v>
      </c>
      <c r="C1946" s="1" t="n">
        <v>45211</v>
      </c>
      <c r="D1946" t="inlineStr">
        <is>
          <t>ÖSTERGÖTLANDS LÄN</t>
        </is>
      </c>
      <c r="E1946" t="inlineStr">
        <is>
          <t>KINDA</t>
        </is>
      </c>
      <c r="F1946" t="inlineStr">
        <is>
          <t>Sveaskog</t>
        </is>
      </c>
      <c r="G1946" t="n">
        <v>2.3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s="2" t="inlineStr"/>
    </row>
    <row r="1947" ht="15" customHeight="1">
      <c r="A1947" t="inlineStr">
        <is>
          <t>A 9002-2020</t>
        </is>
      </c>
      <c r="B1947" s="1" t="n">
        <v>43879</v>
      </c>
      <c r="C1947" s="1" t="n">
        <v>45211</v>
      </c>
      <c r="D1947" t="inlineStr">
        <is>
          <t>ÖSTERGÖTLANDS LÄN</t>
        </is>
      </c>
      <c r="E1947" t="inlineStr">
        <is>
          <t>BOXHOLM</t>
        </is>
      </c>
      <c r="G1947" t="n">
        <v>0.9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s="2" t="inlineStr"/>
    </row>
    <row r="1948" ht="15" customHeight="1">
      <c r="A1948" t="inlineStr">
        <is>
          <t>A 9456-2020</t>
        </is>
      </c>
      <c r="B1948" s="1" t="n">
        <v>43880</v>
      </c>
      <c r="C1948" s="1" t="n">
        <v>45211</v>
      </c>
      <c r="D1948" t="inlineStr">
        <is>
          <t>ÖSTERGÖTLANDS LÄN</t>
        </is>
      </c>
      <c r="E1948" t="inlineStr">
        <is>
          <t>MOTALA</t>
        </is>
      </c>
      <c r="F1948" t="inlineStr">
        <is>
          <t>Sveaskog</t>
        </is>
      </c>
      <c r="G1948" t="n">
        <v>0.9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s="2" t="inlineStr"/>
    </row>
    <row r="1949" ht="15" customHeight="1">
      <c r="A1949" t="inlineStr">
        <is>
          <t>A 9367-2020</t>
        </is>
      </c>
      <c r="B1949" s="1" t="n">
        <v>43880</v>
      </c>
      <c r="C1949" s="1" t="n">
        <v>45211</v>
      </c>
      <c r="D1949" t="inlineStr">
        <is>
          <t>ÖSTERGÖTLANDS LÄN</t>
        </is>
      </c>
      <c r="E1949" t="inlineStr">
        <is>
          <t>BOXHOLM</t>
        </is>
      </c>
      <c r="G1949" t="n">
        <v>2.8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s="2" t="inlineStr"/>
    </row>
    <row r="1950" ht="15" customHeight="1">
      <c r="A1950" t="inlineStr">
        <is>
          <t>A 9454-2020</t>
        </is>
      </c>
      <c r="B1950" s="1" t="n">
        <v>43880</v>
      </c>
      <c r="C1950" s="1" t="n">
        <v>45211</v>
      </c>
      <c r="D1950" t="inlineStr">
        <is>
          <t>ÖSTERGÖTLANDS LÄN</t>
        </is>
      </c>
      <c r="E1950" t="inlineStr">
        <is>
          <t>MOTALA</t>
        </is>
      </c>
      <c r="F1950" t="inlineStr">
        <is>
          <t>Sveaskog</t>
        </is>
      </c>
      <c r="G1950" t="n">
        <v>1.1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s="2" t="inlineStr"/>
    </row>
    <row r="1951" ht="15" customHeight="1">
      <c r="A1951" t="inlineStr">
        <is>
          <t>A 9478-2020</t>
        </is>
      </c>
      <c r="B1951" s="1" t="n">
        <v>43880</v>
      </c>
      <c r="C1951" s="1" t="n">
        <v>45211</v>
      </c>
      <c r="D1951" t="inlineStr">
        <is>
          <t>ÖSTERGÖTLANDS LÄN</t>
        </is>
      </c>
      <c r="E1951" t="inlineStr">
        <is>
          <t>MJÖLBY</t>
        </is>
      </c>
      <c r="F1951" t="inlineStr">
        <is>
          <t>Övriga Aktiebolag</t>
        </is>
      </c>
      <c r="G1951" t="n">
        <v>5.2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s="2" t="inlineStr"/>
    </row>
    <row r="1952" ht="15" customHeight="1">
      <c r="A1952" t="inlineStr">
        <is>
          <t>A 9273-2020</t>
        </is>
      </c>
      <c r="B1952" s="1" t="n">
        <v>43880</v>
      </c>
      <c r="C1952" s="1" t="n">
        <v>45211</v>
      </c>
      <c r="D1952" t="inlineStr">
        <is>
          <t>ÖSTERGÖTLANDS LÄN</t>
        </is>
      </c>
      <c r="E1952" t="inlineStr">
        <is>
          <t>ÅTVIDABERG</t>
        </is>
      </c>
      <c r="G1952" t="n">
        <v>0.9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s="2" t="inlineStr"/>
    </row>
    <row r="1953" ht="15" customHeight="1">
      <c r="A1953" t="inlineStr">
        <is>
          <t>A 9374-2020</t>
        </is>
      </c>
      <c r="B1953" s="1" t="n">
        <v>43880</v>
      </c>
      <c r="C1953" s="1" t="n">
        <v>45211</v>
      </c>
      <c r="D1953" t="inlineStr">
        <is>
          <t>ÖSTERGÖTLANDS LÄN</t>
        </is>
      </c>
      <c r="E1953" t="inlineStr">
        <is>
          <t>NORRKÖPING</t>
        </is>
      </c>
      <c r="G1953" t="n">
        <v>2.5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s="2" t="inlineStr"/>
    </row>
    <row r="1954" ht="15" customHeight="1">
      <c r="A1954" t="inlineStr">
        <is>
          <t>A 9457-2020</t>
        </is>
      </c>
      <c r="B1954" s="1" t="n">
        <v>43880</v>
      </c>
      <c r="C1954" s="1" t="n">
        <v>45211</v>
      </c>
      <c r="D1954" t="inlineStr">
        <is>
          <t>ÖSTERGÖTLANDS LÄN</t>
        </is>
      </c>
      <c r="E1954" t="inlineStr">
        <is>
          <t>MOTALA</t>
        </is>
      </c>
      <c r="F1954" t="inlineStr">
        <is>
          <t>Sveaskog</t>
        </is>
      </c>
      <c r="G1954" t="n">
        <v>1.4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s="2" t="inlineStr"/>
    </row>
    <row r="1955" ht="15" customHeight="1">
      <c r="A1955" t="inlineStr">
        <is>
          <t>A 9458-2020</t>
        </is>
      </c>
      <c r="B1955" s="1" t="n">
        <v>43880</v>
      </c>
      <c r="C1955" s="1" t="n">
        <v>45211</v>
      </c>
      <c r="D1955" t="inlineStr">
        <is>
          <t>ÖSTERGÖTLANDS LÄN</t>
        </is>
      </c>
      <c r="E1955" t="inlineStr">
        <is>
          <t>MOTALA</t>
        </is>
      </c>
      <c r="F1955" t="inlineStr">
        <is>
          <t>Sveaskog</t>
        </is>
      </c>
      <c r="G1955" t="n">
        <v>4.3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s="2" t="inlineStr"/>
    </row>
    <row r="1956" ht="15" customHeight="1">
      <c r="A1956" t="inlineStr">
        <is>
          <t>A 9822-2020</t>
        </is>
      </c>
      <c r="B1956" s="1" t="n">
        <v>43881</v>
      </c>
      <c r="C1956" s="1" t="n">
        <v>45211</v>
      </c>
      <c r="D1956" t="inlineStr">
        <is>
          <t>ÖSTERGÖTLANDS LÄN</t>
        </is>
      </c>
      <c r="E1956" t="inlineStr">
        <is>
          <t>LINKÖPING</t>
        </is>
      </c>
      <c r="F1956" t="inlineStr">
        <is>
          <t>Allmännings- och besparingsskogar</t>
        </is>
      </c>
      <c r="G1956" t="n">
        <v>1.6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s="2" t="inlineStr"/>
    </row>
    <row r="1957" ht="15" customHeight="1">
      <c r="A1957" t="inlineStr">
        <is>
          <t>A 9999-2020</t>
        </is>
      </c>
      <c r="B1957" s="1" t="n">
        <v>43882</v>
      </c>
      <c r="C1957" s="1" t="n">
        <v>45211</v>
      </c>
      <c r="D1957" t="inlineStr">
        <is>
          <t>ÖSTERGÖTLANDS LÄN</t>
        </is>
      </c>
      <c r="E1957" t="inlineStr">
        <is>
          <t>MOTALA</t>
        </is>
      </c>
      <c r="G1957" t="n">
        <v>1.1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s="2" t="inlineStr"/>
    </row>
    <row r="1958" ht="15" customHeight="1">
      <c r="A1958" t="inlineStr">
        <is>
          <t>A 10043-2020</t>
        </is>
      </c>
      <c r="B1958" s="1" t="n">
        <v>43882</v>
      </c>
      <c r="C1958" s="1" t="n">
        <v>45211</v>
      </c>
      <c r="D1958" t="inlineStr">
        <is>
          <t>ÖSTERGÖTLANDS LÄN</t>
        </is>
      </c>
      <c r="E1958" t="inlineStr">
        <is>
          <t>ÖDESHÖG</t>
        </is>
      </c>
      <c r="G1958" t="n">
        <v>9.9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s="2" t="inlineStr"/>
    </row>
    <row r="1959" ht="15" customHeight="1">
      <c r="A1959" t="inlineStr">
        <is>
          <t>A 9843-2020</t>
        </is>
      </c>
      <c r="B1959" s="1" t="n">
        <v>43882</v>
      </c>
      <c r="C1959" s="1" t="n">
        <v>45211</v>
      </c>
      <c r="D1959" t="inlineStr">
        <is>
          <t>ÖSTERGÖTLANDS LÄN</t>
        </is>
      </c>
      <c r="E1959" t="inlineStr">
        <is>
          <t>KINDA</t>
        </is>
      </c>
      <c r="G1959" t="n">
        <v>0.8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s="2" t="inlineStr"/>
    </row>
    <row r="1960" ht="15" customHeight="1">
      <c r="A1960" t="inlineStr">
        <is>
          <t>A 9926-2020</t>
        </is>
      </c>
      <c r="B1960" s="1" t="n">
        <v>43882</v>
      </c>
      <c r="C1960" s="1" t="n">
        <v>45211</v>
      </c>
      <c r="D1960" t="inlineStr">
        <is>
          <t>ÖSTERGÖTLANDS LÄN</t>
        </is>
      </c>
      <c r="E1960" t="inlineStr">
        <is>
          <t>LINKÖPING</t>
        </is>
      </c>
      <c r="G1960" t="n">
        <v>3.6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s="2" t="inlineStr"/>
    </row>
    <row r="1961" ht="15" customHeight="1">
      <c r="A1961" t="inlineStr">
        <is>
          <t>A 9933-2020</t>
        </is>
      </c>
      <c r="B1961" s="1" t="n">
        <v>43882</v>
      </c>
      <c r="C1961" s="1" t="n">
        <v>45211</v>
      </c>
      <c r="D1961" t="inlineStr">
        <is>
          <t>ÖSTERGÖTLANDS LÄN</t>
        </is>
      </c>
      <c r="E1961" t="inlineStr">
        <is>
          <t>LINKÖPING</t>
        </is>
      </c>
      <c r="G1961" t="n">
        <v>4.6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s="2" t="inlineStr"/>
    </row>
    <row r="1962" ht="15" customHeight="1">
      <c r="A1962" t="inlineStr">
        <is>
          <t>A 9946-2020</t>
        </is>
      </c>
      <c r="B1962" s="1" t="n">
        <v>43882</v>
      </c>
      <c r="C1962" s="1" t="n">
        <v>45211</v>
      </c>
      <c r="D1962" t="inlineStr">
        <is>
          <t>ÖSTERGÖTLANDS LÄN</t>
        </is>
      </c>
      <c r="E1962" t="inlineStr">
        <is>
          <t>LINKÖPING</t>
        </is>
      </c>
      <c r="G1962" t="n">
        <v>13.2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s="2" t="inlineStr"/>
    </row>
    <row r="1963" ht="15" customHeight="1">
      <c r="A1963" t="inlineStr">
        <is>
          <t>A 10228-2020</t>
        </is>
      </c>
      <c r="B1963" s="1" t="n">
        <v>43885</v>
      </c>
      <c r="C1963" s="1" t="n">
        <v>45211</v>
      </c>
      <c r="D1963" t="inlineStr">
        <is>
          <t>ÖSTERGÖTLANDS LÄN</t>
        </is>
      </c>
      <c r="E1963" t="inlineStr">
        <is>
          <t>KINDA</t>
        </is>
      </c>
      <c r="G1963" t="n">
        <v>1.1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s="2" t="inlineStr"/>
    </row>
    <row r="1964" ht="15" customHeight="1">
      <c r="A1964" t="inlineStr">
        <is>
          <t>A 10371-2020</t>
        </is>
      </c>
      <c r="B1964" s="1" t="n">
        <v>43885</v>
      </c>
      <c r="C1964" s="1" t="n">
        <v>45211</v>
      </c>
      <c r="D1964" t="inlineStr">
        <is>
          <t>ÖSTERGÖTLANDS LÄN</t>
        </is>
      </c>
      <c r="E1964" t="inlineStr">
        <is>
          <t>MJÖLBY</t>
        </is>
      </c>
      <c r="G1964" t="n">
        <v>10.3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s="2" t="inlineStr"/>
    </row>
    <row r="1965" ht="15" customHeight="1">
      <c r="A1965" t="inlineStr">
        <is>
          <t>A 10274-2020</t>
        </is>
      </c>
      <c r="B1965" s="1" t="n">
        <v>43885</v>
      </c>
      <c r="C1965" s="1" t="n">
        <v>45211</v>
      </c>
      <c r="D1965" t="inlineStr">
        <is>
          <t>ÖSTERGÖTLANDS LÄN</t>
        </is>
      </c>
      <c r="E1965" t="inlineStr">
        <is>
          <t>NORRKÖPING</t>
        </is>
      </c>
      <c r="G1965" t="n">
        <v>0.5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s="2" t="inlineStr"/>
    </row>
    <row r="1966" ht="15" customHeight="1">
      <c r="A1966" t="inlineStr">
        <is>
          <t>A 10355-2020</t>
        </is>
      </c>
      <c r="B1966" s="1" t="n">
        <v>43885</v>
      </c>
      <c r="C1966" s="1" t="n">
        <v>45211</v>
      </c>
      <c r="D1966" t="inlineStr">
        <is>
          <t>ÖSTERGÖTLANDS LÄN</t>
        </is>
      </c>
      <c r="E1966" t="inlineStr">
        <is>
          <t>NORRKÖPING</t>
        </is>
      </c>
      <c r="G1966" t="n">
        <v>1.7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s="2" t="inlineStr"/>
    </row>
    <row r="1967" ht="15" customHeight="1">
      <c r="A1967" t="inlineStr">
        <is>
          <t>A 10385-2020</t>
        </is>
      </c>
      <c r="B1967" s="1" t="n">
        <v>43885</v>
      </c>
      <c r="C1967" s="1" t="n">
        <v>45211</v>
      </c>
      <c r="D1967" t="inlineStr">
        <is>
          <t>ÖSTERGÖTLANDS LÄN</t>
        </is>
      </c>
      <c r="E1967" t="inlineStr">
        <is>
          <t>MOTALA</t>
        </is>
      </c>
      <c r="G1967" t="n">
        <v>0.9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s="2" t="inlineStr"/>
    </row>
    <row r="1968" ht="15" customHeight="1">
      <c r="A1968" t="inlineStr">
        <is>
          <t>A 10329-2020</t>
        </is>
      </c>
      <c r="B1968" s="1" t="n">
        <v>43885</v>
      </c>
      <c r="C1968" s="1" t="n">
        <v>45211</v>
      </c>
      <c r="D1968" t="inlineStr">
        <is>
          <t>ÖSTERGÖTLANDS LÄN</t>
        </is>
      </c>
      <c r="E1968" t="inlineStr">
        <is>
          <t>NORRKÖPING</t>
        </is>
      </c>
      <c r="G1968" t="n">
        <v>2.2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s="2" t="inlineStr"/>
    </row>
    <row r="1969" ht="15" customHeight="1">
      <c r="A1969" t="inlineStr">
        <is>
          <t>A 10210-2020</t>
        </is>
      </c>
      <c r="B1969" s="1" t="n">
        <v>43885</v>
      </c>
      <c r="C1969" s="1" t="n">
        <v>45211</v>
      </c>
      <c r="D1969" t="inlineStr">
        <is>
          <t>ÖSTERGÖTLANDS LÄN</t>
        </is>
      </c>
      <c r="E1969" t="inlineStr">
        <is>
          <t>MOTALA</t>
        </is>
      </c>
      <c r="F1969" t="inlineStr">
        <is>
          <t>Sveaskog</t>
        </is>
      </c>
      <c r="G1969" t="n">
        <v>1.1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s="2" t="inlineStr"/>
    </row>
    <row r="1970" ht="15" customHeight="1">
      <c r="A1970" t="inlineStr">
        <is>
          <t>A 10476-2020</t>
        </is>
      </c>
      <c r="B1970" s="1" t="n">
        <v>43886</v>
      </c>
      <c r="C1970" s="1" t="n">
        <v>45211</v>
      </c>
      <c r="D1970" t="inlineStr">
        <is>
          <t>ÖSTERGÖTLANDS LÄN</t>
        </is>
      </c>
      <c r="E1970" t="inlineStr">
        <is>
          <t>KINDA</t>
        </is>
      </c>
      <c r="G1970" t="n">
        <v>0.5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s="2" t="inlineStr"/>
    </row>
    <row r="1971" ht="15" customHeight="1">
      <c r="A1971" t="inlineStr">
        <is>
          <t>A 10541-2020</t>
        </is>
      </c>
      <c r="B1971" s="1" t="n">
        <v>43886</v>
      </c>
      <c r="C1971" s="1" t="n">
        <v>45211</v>
      </c>
      <c r="D1971" t="inlineStr">
        <is>
          <t>ÖSTERGÖTLANDS LÄN</t>
        </is>
      </c>
      <c r="E1971" t="inlineStr">
        <is>
          <t>LINKÖPING</t>
        </is>
      </c>
      <c r="F1971" t="inlineStr">
        <is>
          <t>Allmännings- och besparingsskogar</t>
        </is>
      </c>
      <c r="G1971" t="n">
        <v>6.3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s="2" t="inlineStr"/>
    </row>
    <row r="1972" ht="15" customHeight="1">
      <c r="A1972" t="inlineStr">
        <is>
          <t>A 10498-2020</t>
        </is>
      </c>
      <c r="B1972" s="1" t="n">
        <v>43886</v>
      </c>
      <c r="C1972" s="1" t="n">
        <v>45211</v>
      </c>
      <c r="D1972" t="inlineStr">
        <is>
          <t>ÖSTERGÖTLANDS LÄN</t>
        </is>
      </c>
      <c r="E1972" t="inlineStr">
        <is>
          <t>SÖDERKÖPING</t>
        </is>
      </c>
      <c r="G1972" t="n">
        <v>2.4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s="2" t="inlineStr"/>
    </row>
    <row r="1973" ht="15" customHeight="1">
      <c r="A1973" t="inlineStr">
        <is>
          <t>A 10101-2020</t>
        </is>
      </c>
      <c r="B1973" s="1" t="n">
        <v>43887</v>
      </c>
      <c r="C1973" s="1" t="n">
        <v>45211</v>
      </c>
      <c r="D1973" t="inlineStr">
        <is>
          <t>ÖSTERGÖTLANDS LÄN</t>
        </is>
      </c>
      <c r="E1973" t="inlineStr">
        <is>
          <t>MOTALA</t>
        </is>
      </c>
      <c r="F1973" t="inlineStr">
        <is>
          <t>Sveaskog</t>
        </is>
      </c>
      <c r="G1973" t="n">
        <v>8.1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s="2" t="inlineStr"/>
    </row>
    <row r="1974" ht="15" customHeight="1">
      <c r="A1974" t="inlineStr">
        <is>
          <t>A 10109-2020</t>
        </is>
      </c>
      <c r="B1974" s="1" t="n">
        <v>43887</v>
      </c>
      <c r="C1974" s="1" t="n">
        <v>45211</v>
      </c>
      <c r="D1974" t="inlineStr">
        <is>
          <t>ÖSTERGÖTLANDS LÄN</t>
        </is>
      </c>
      <c r="E1974" t="inlineStr">
        <is>
          <t>MOTALA</t>
        </is>
      </c>
      <c r="F1974" t="inlineStr">
        <is>
          <t>Sveaskog</t>
        </is>
      </c>
      <c r="G1974" t="n">
        <v>0.6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s="2" t="inlineStr"/>
    </row>
    <row r="1975" ht="15" customHeight="1">
      <c r="A1975" t="inlineStr">
        <is>
          <t>A 10597-2020</t>
        </is>
      </c>
      <c r="B1975" s="1" t="n">
        <v>43887</v>
      </c>
      <c r="C1975" s="1" t="n">
        <v>45211</v>
      </c>
      <c r="D1975" t="inlineStr">
        <is>
          <t>ÖSTERGÖTLANDS LÄN</t>
        </is>
      </c>
      <c r="E1975" t="inlineStr">
        <is>
          <t>MJÖLBY</t>
        </is>
      </c>
      <c r="F1975" t="inlineStr">
        <is>
          <t>Sveaskog</t>
        </is>
      </c>
      <c r="G1975" t="n">
        <v>1.5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s="2" t="inlineStr"/>
    </row>
    <row r="1976" ht="15" customHeight="1">
      <c r="A1976" t="inlineStr">
        <is>
          <t>A 10100-2020</t>
        </is>
      </c>
      <c r="B1976" s="1" t="n">
        <v>43887</v>
      </c>
      <c r="C1976" s="1" t="n">
        <v>45211</v>
      </c>
      <c r="D1976" t="inlineStr">
        <is>
          <t>ÖSTERGÖTLANDS LÄN</t>
        </is>
      </c>
      <c r="E1976" t="inlineStr">
        <is>
          <t>MOTALA</t>
        </is>
      </c>
      <c r="F1976" t="inlineStr">
        <is>
          <t>Sveaskog</t>
        </is>
      </c>
      <c r="G1976" t="n">
        <v>1.4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s="2" t="inlineStr"/>
    </row>
    <row r="1977" ht="15" customHeight="1">
      <c r="A1977" t="inlineStr">
        <is>
          <t>A 10095-2020</t>
        </is>
      </c>
      <c r="B1977" s="1" t="n">
        <v>43887</v>
      </c>
      <c r="C1977" s="1" t="n">
        <v>45211</v>
      </c>
      <c r="D1977" t="inlineStr">
        <is>
          <t>ÖSTERGÖTLANDS LÄN</t>
        </is>
      </c>
      <c r="E1977" t="inlineStr">
        <is>
          <t>MOTALA</t>
        </is>
      </c>
      <c r="F1977" t="inlineStr">
        <is>
          <t>Sveaskog</t>
        </is>
      </c>
      <c r="G1977" t="n">
        <v>1.5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s="2" t="inlineStr"/>
    </row>
    <row r="1978" ht="15" customHeight="1">
      <c r="A1978" t="inlineStr">
        <is>
          <t>A 10936-2020</t>
        </is>
      </c>
      <c r="B1978" s="1" t="n">
        <v>43888</v>
      </c>
      <c r="C1978" s="1" t="n">
        <v>45211</v>
      </c>
      <c r="D1978" t="inlineStr">
        <is>
          <t>ÖSTERGÖTLANDS LÄN</t>
        </is>
      </c>
      <c r="E1978" t="inlineStr">
        <is>
          <t>NORRKÖPING</t>
        </is>
      </c>
      <c r="G1978" t="n">
        <v>0.7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s="2" t="inlineStr"/>
    </row>
    <row r="1979" ht="15" customHeight="1">
      <c r="A1979" t="inlineStr">
        <is>
          <t>A 11000-2020</t>
        </is>
      </c>
      <c r="B1979" s="1" t="n">
        <v>43889</v>
      </c>
      <c r="C1979" s="1" t="n">
        <v>45211</v>
      </c>
      <c r="D1979" t="inlineStr">
        <is>
          <t>ÖSTERGÖTLANDS LÄN</t>
        </is>
      </c>
      <c r="E1979" t="inlineStr">
        <is>
          <t>FINSPÅNG</t>
        </is>
      </c>
      <c r="G1979" t="n">
        <v>10.2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s="2" t="inlineStr"/>
    </row>
    <row r="1980" ht="15" customHeight="1">
      <c r="A1980" t="inlineStr">
        <is>
          <t>A 11043-2020</t>
        </is>
      </c>
      <c r="B1980" s="1" t="n">
        <v>43889</v>
      </c>
      <c r="C1980" s="1" t="n">
        <v>45211</v>
      </c>
      <c r="D1980" t="inlineStr">
        <is>
          <t>ÖSTERGÖTLANDS LÄN</t>
        </is>
      </c>
      <c r="E1980" t="inlineStr">
        <is>
          <t>LINKÖPING</t>
        </is>
      </c>
      <c r="G1980" t="n">
        <v>2.4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s="2" t="inlineStr"/>
    </row>
    <row r="1981" ht="15" customHeight="1">
      <c r="A1981" t="inlineStr">
        <is>
          <t>A 11257-2020</t>
        </is>
      </c>
      <c r="B1981" s="1" t="n">
        <v>43892</v>
      </c>
      <c r="C1981" s="1" t="n">
        <v>45211</v>
      </c>
      <c r="D1981" t="inlineStr">
        <is>
          <t>ÖSTERGÖTLANDS LÄN</t>
        </is>
      </c>
      <c r="E1981" t="inlineStr">
        <is>
          <t>BOXHOLM</t>
        </is>
      </c>
      <c r="G1981" t="n">
        <v>1.4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s="2" t="inlineStr"/>
    </row>
    <row r="1982" ht="15" customHeight="1">
      <c r="A1982" t="inlineStr">
        <is>
          <t>A 11374-2020</t>
        </is>
      </c>
      <c r="B1982" s="1" t="n">
        <v>43892</v>
      </c>
      <c r="C1982" s="1" t="n">
        <v>45211</v>
      </c>
      <c r="D1982" t="inlineStr">
        <is>
          <t>ÖSTERGÖTLANDS LÄN</t>
        </is>
      </c>
      <c r="E1982" t="inlineStr">
        <is>
          <t>KINDA</t>
        </is>
      </c>
      <c r="G1982" t="n">
        <v>1.1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s="2" t="inlineStr"/>
    </row>
    <row r="1983" ht="15" customHeight="1">
      <c r="A1983" t="inlineStr">
        <is>
          <t>A 11447-2020</t>
        </is>
      </c>
      <c r="B1983" s="1" t="n">
        <v>43892</v>
      </c>
      <c r="C1983" s="1" t="n">
        <v>45211</v>
      </c>
      <c r="D1983" t="inlineStr">
        <is>
          <t>ÖSTERGÖTLANDS LÄN</t>
        </is>
      </c>
      <c r="E1983" t="inlineStr">
        <is>
          <t>YDRE</t>
        </is>
      </c>
      <c r="G1983" t="n">
        <v>2.2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s="2" t="inlineStr"/>
    </row>
    <row r="1984" ht="15" customHeight="1">
      <c r="A1984" t="inlineStr">
        <is>
          <t>A 11465-2020</t>
        </is>
      </c>
      <c r="B1984" s="1" t="n">
        <v>43892</v>
      </c>
      <c r="C1984" s="1" t="n">
        <v>45211</v>
      </c>
      <c r="D1984" t="inlineStr">
        <is>
          <t>ÖSTERGÖTLANDS LÄN</t>
        </is>
      </c>
      <c r="E1984" t="inlineStr">
        <is>
          <t>YDRE</t>
        </is>
      </c>
      <c r="G1984" t="n">
        <v>0.7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s="2" t="inlineStr"/>
    </row>
    <row r="1985" ht="15" customHeight="1">
      <c r="A1985" t="inlineStr">
        <is>
          <t>A 11432-2020</t>
        </is>
      </c>
      <c r="B1985" s="1" t="n">
        <v>43893</v>
      </c>
      <c r="C1985" s="1" t="n">
        <v>45211</v>
      </c>
      <c r="D1985" t="inlineStr">
        <is>
          <t>ÖSTERGÖTLANDS LÄN</t>
        </is>
      </c>
      <c r="E1985" t="inlineStr">
        <is>
          <t>FINSPÅNG</t>
        </is>
      </c>
      <c r="G1985" t="n">
        <v>1.9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s="2" t="inlineStr"/>
    </row>
    <row r="1986" ht="15" customHeight="1">
      <c r="A1986" t="inlineStr">
        <is>
          <t>A 11482-2020</t>
        </is>
      </c>
      <c r="B1986" s="1" t="n">
        <v>43893</v>
      </c>
      <c r="C1986" s="1" t="n">
        <v>45211</v>
      </c>
      <c r="D1986" t="inlineStr">
        <is>
          <t>ÖSTERGÖTLANDS LÄN</t>
        </is>
      </c>
      <c r="E1986" t="inlineStr">
        <is>
          <t>ÅTVIDABERG</t>
        </is>
      </c>
      <c r="G1986" t="n">
        <v>0.7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s="2" t="inlineStr"/>
    </row>
    <row r="1987" ht="15" customHeight="1">
      <c r="A1987" t="inlineStr">
        <is>
          <t>A 11521-2020</t>
        </is>
      </c>
      <c r="B1987" s="1" t="n">
        <v>43893</v>
      </c>
      <c r="C1987" s="1" t="n">
        <v>45211</v>
      </c>
      <c r="D1987" t="inlineStr">
        <is>
          <t>ÖSTERGÖTLANDS LÄN</t>
        </is>
      </c>
      <c r="E1987" t="inlineStr">
        <is>
          <t>LINKÖPING</t>
        </is>
      </c>
      <c r="G1987" t="n">
        <v>1.7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s="2" t="inlineStr"/>
    </row>
    <row r="1988" ht="15" customHeight="1">
      <c r="A1988" t="inlineStr">
        <is>
          <t>A 11511-2020</t>
        </is>
      </c>
      <c r="B1988" s="1" t="n">
        <v>43893</v>
      </c>
      <c r="C1988" s="1" t="n">
        <v>45211</v>
      </c>
      <c r="D1988" t="inlineStr">
        <is>
          <t>ÖSTERGÖTLANDS LÄN</t>
        </is>
      </c>
      <c r="E1988" t="inlineStr">
        <is>
          <t>KINDA</t>
        </is>
      </c>
      <c r="G1988" t="n">
        <v>1.4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s="2" t="inlineStr"/>
    </row>
    <row r="1989" ht="15" customHeight="1">
      <c r="A1989" t="inlineStr">
        <is>
          <t>A 11537-2020</t>
        </is>
      </c>
      <c r="B1989" s="1" t="n">
        <v>43893</v>
      </c>
      <c r="C1989" s="1" t="n">
        <v>45211</v>
      </c>
      <c r="D1989" t="inlineStr">
        <is>
          <t>ÖSTERGÖTLANDS LÄN</t>
        </is>
      </c>
      <c r="E1989" t="inlineStr">
        <is>
          <t>KINDA</t>
        </is>
      </c>
      <c r="G1989" t="n">
        <v>1.8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s="2" t="inlineStr"/>
    </row>
    <row r="1990" ht="15" customHeight="1">
      <c r="A1990" t="inlineStr">
        <is>
          <t>A 11539-2020</t>
        </is>
      </c>
      <c r="B1990" s="1" t="n">
        <v>43893</v>
      </c>
      <c r="C1990" s="1" t="n">
        <v>45211</v>
      </c>
      <c r="D1990" t="inlineStr">
        <is>
          <t>ÖSTERGÖTLANDS LÄN</t>
        </is>
      </c>
      <c r="E1990" t="inlineStr">
        <is>
          <t>LINKÖPING</t>
        </is>
      </c>
      <c r="G1990" t="n">
        <v>9.1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s="2" t="inlineStr"/>
    </row>
    <row r="1991" ht="15" customHeight="1">
      <c r="A1991" t="inlineStr">
        <is>
          <t>A 11644-2020</t>
        </is>
      </c>
      <c r="B1991" s="1" t="n">
        <v>43893</v>
      </c>
      <c r="C1991" s="1" t="n">
        <v>45211</v>
      </c>
      <c r="D1991" t="inlineStr">
        <is>
          <t>ÖSTERGÖTLANDS LÄN</t>
        </is>
      </c>
      <c r="E1991" t="inlineStr">
        <is>
          <t>NORRKÖPING</t>
        </is>
      </c>
      <c r="G1991" t="n">
        <v>1.1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s="2" t="inlineStr"/>
    </row>
    <row r="1992" ht="15" customHeight="1">
      <c r="A1992" t="inlineStr">
        <is>
          <t>A 11950-2020</t>
        </is>
      </c>
      <c r="B1992" s="1" t="n">
        <v>43894</v>
      </c>
      <c r="C1992" s="1" t="n">
        <v>45211</v>
      </c>
      <c r="D1992" t="inlineStr">
        <is>
          <t>ÖSTERGÖTLANDS LÄN</t>
        </is>
      </c>
      <c r="E1992" t="inlineStr">
        <is>
          <t>MOTALA</t>
        </is>
      </c>
      <c r="G1992" t="n">
        <v>3.9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s="2" t="inlineStr"/>
    </row>
    <row r="1993" ht="15" customHeight="1">
      <c r="A1993" t="inlineStr">
        <is>
          <t>A 11747-2020</t>
        </is>
      </c>
      <c r="B1993" s="1" t="n">
        <v>43894</v>
      </c>
      <c r="C1993" s="1" t="n">
        <v>45211</v>
      </c>
      <c r="D1993" t="inlineStr">
        <is>
          <t>ÖSTERGÖTLANDS LÄN</t>
        </is>
      </c>
      <c r="E1993" t="inlineStr">
        <is>
          <t>MOTALA</t>
        </is>
      </c>
      <c r="G1993" t="n">
        <v>1.5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s="2" t="inlineStr"/>
    </row>
    <row r="1994" ht="15" customHeight="1">
      <c r="A1994" t="inlineStr">
        <is>
          <t>A 11714-2020</t>
        </is>
      </c>
      <c r="B1994" s="1" t="n">
        <v>43894</v>
      </c>
      <c r="C1994" s="1" t="n">
        <v>45211</v>
      </c>
      <c r="D1994" t="inlineStr">
        <is>
          <t>ÖSTERGÖTLANDS LÄN</t>
        </is>
      </c>
      <c r="E1994" t="inlineStr">
        <is>
          <t>NORRKÖPING</t>
        </is>
      </c>
      <c r="G1994" t="n">
        <v>1.7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s="2" t="inlineStr"/>
    </row>
    <row r="1995" ht="15" customHeight="1">
      <c r="A1995" t="inlineStr">
        <is>
          <t>A 11939-2020</t>
        </is>
      </c>
      <c r="B1995" s="1" t="n">
        <v>43894</v>
      </c>
      <c r="C1995" s="1" t="n">
        <v>45211</v>
      </c>
      <c r="D1995" t="inlineStr">
        <is>
          <t>ÖSTERGÖTLANDS LÄN</t>
        </is>
      </c>
      <c r="E1995" t="inlineStr">
        <is>
          <t>LINKÖPING</t>
        </is>
      </c>
      <c r="F1995" t="inlineStr">
        <is>
          <t>Övriga Aktiebolag</t>
        </is>
      </c>
      <c r="G1995" t="n">
        <v>2.7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s="2" t="inlineStr"/>
    </row>
    <row r="1996" ht="15" customHeight="1">
      <c r="A1996" t="inlineStr">
        <is>
          <t>A 12002-2020</t>
        </is>
      </c>
      <c r="B1996" s="1" t="n">
        <v>43894</v>
      </c>
      <c r="C1996" s="1" t="n">
        <v>45211</v>
      </c>
      <c r="D1996" t="inlineStr">
        <is>
          <t>ÖSTERGÖTLANDS LÄN</t>
        </is>
      </c>
      <c r="E1996" t="inlineStr">
        <is>
          <t>LINKÖPING</t>
        </is>
      </c>
      <c r="F1996" t="inlineStr">
        <is>
          <t>Övriga Aktiebolag</t>
        </is>
      </c>
      <c r="G1996" t="n">
        <v>0.7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s="2" t="inlineStr"/>
    </row>
    <row r="1997" ht="15" customHeight="1">
      <c r="A1997" t="inlineStr">
        <is>
          <t>A 13697-2020</t>
        </is>
      </c>
      <c r="B1997" s="1" t="n">
        <v>43895</v>
      </c>
      <c r="C1997" s="1" t="n">
        <v>45211</v>
      </c>
      <c r="D1997" t="inlineStr">
        <is>
          <t>ÖSTERGÖTLANDS LÄN</t>
        </is>
      </c>
      <c r="E1997" t="inlineStr">
        <is>
          <t>NORRKÖPING</t>
        </is>
      </c>
      <c r="G1997" t="n">
        <v>1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s="2" t="inlineStr"/>
    </row>
    <row r="1998" ht="15" customHeight="1">
      <c r="A1998" t="inlineStr">
        <is>
          <t>A 12319-2020</t>
        </is>
      </c>
      <c r="B1998" s="1" t="n">
        <v>43895</v>
      </c>
      <c r="C1998" s="1" t="n">
        <v>45211</v>
      </c>
      <c r="D1998" t="inlineStr">
        <is>
          <t>ÖSTERGÖTLANDS LÄN</t>
        </is>
      </c>
      <c r="E1998" t="inlineStr">
        <is>
          <t>ÅTVIDABERG</t>
        </is>
      </c>
      <c r="G1998" t="n">
        <v>0.4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s="2" t="inlineStr"/>
    </row>
    <row r="1999" ht="15" customHeight="1">
      <c r="A1999" t="inlineStr">
        <is>
          <t>A 12317-2020</t>
        </is>
      </c>
      <c r="B1999" s="1" t="n">
        <v>43895</v>
      </c>
      <c r="C1999" s="1" t="n">
        <v>45211</v>
      </c>
      <c r="D1999" t="inlineStr">
        <is>
          <t>ÖSTERGÖTLANDS LÄN</t>
        </is>
      </c>
      <c r="E1999" t="inlineStr">
        <is>
          <t>ÅTVIDABERG</t>
        </is>
      </c>
      <c r="G1999" t="n">
        <v>0.4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s="2" t="inlineStr"/>
    </row>
    <row r="2000" ht="15" customHeight="1">
      <c r="A2000" t="inlineStr">
        <is>
          <t>A 12090-2020</t>
        </is>
      </c>
      <c r="B2000" s="1" t="n">
        <v>43895</v>
      </c>
      <c r="C2000" s="1" t="n">
        <v>45211</v>
      </c>
      <c r="D2000" t="inlineStr">
        <is>
          <t>ÖSTERGÖTLANDS LÄN</t>
        </is>
      </c>
      <c r="E2000" t="inlineStr">
        <is>
          <t>ÅTVIDABERG</t>
        </is>
      </c>
      <c r="G2000" t="n">
        <v>4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s="2" t="inlineStr"/>
    </row>
    <row r="2001" ht="15" customHeight="1">
      <c r="A2001" t="inlineStr">
        <is>
          <t>A 12193-2020</t>
        </is>
      </c>
      <c r="B2001" s="1" t="n">
        <v>43895</v>
      </c>
      <c r="C2001" s="1" t="n">
        <v>45211</v>
      </c>
      <c r="D2001" t="inlineStr">
        <is>
          <t>ÖSTERGÖTLANDS LÄN</t>
        </is>
      </c>
      <c r="E2001" t="inlineStr">
        <is>
          <t>FINSPÅNG</t>
        </is>
      </c>
      <c r="G2001" t="n">
        <v>3.4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s="2" t="inlineStr"/>
    </row>
    <row r="2002" ht="15" customHeight="1">
      <c r="A2002" t="inlineStr">
        <is>
          <t>A 12567-2020</t>
        </is>
      </c>
      <c r="B2002" s="1" t="n">
        <v>43896</v>
      </c>
      <c r="C2002" s="1" t="n">
        <v>45211</v>
      </c>
      <c r="D2002" t="inlineStr">
        <is>
          <t>ÖSTERGÖTLANDS LÄN</t>
        </is>
      </c>
      <c r="E2002" t="inlineStr">
        <is>
          <t>VALDEMARSVIK</t>
        </is>
      </c>
      <c r="G2002" t="n">
        <v>2.9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s="2" t="inlineStr"/>
    </row>
    <row r="2003" ht="15" customHeight="1">
      <c r="A2003" t="inlineStr">
        <is>
          <t>A 12545-2020</t>
        </is>
      </c>
      <c r="B2003" s="1" t="n">
        <v>43897</v>
      </c>
      <c r="C2003" s="1" t="n">
        <v>45211</v>
      </c>
      <c r="D2003" t="inlineStr">
        <is>
          <t>ÖSTERGÖTLANDS LÄN</t>
        </is>
      </c>
      <c r="E2003" t="inlineStr">
        <is>
          <t>MOTALA</t>
        </is>
      </c>
      <c r="G2003" t="n">
        <v>3.2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s="2" t="inlineStr"/>
    </row>
    <row r="2004" ht="15" customHeight="1">
      <c r="A2004" t="inlineStr">
        <is>
          <t>A 12692-2020</t>
        </is>
      </c>
      <c r="B2004" s="1" t="n">
        <v>43899</v>
      </c>
      <c r="C2004" s="1" t="n">
        <v>45211</v>
      </c>
      <c r="D2004" t="inlineStr">
        <is>
          <t>ÖSTERGÖTLANDS LÄN</t>
        </is>
      </c>
      <c r="E2004" t="inlineStr">
        <is>
          <t>MOTALA</t>
        </is>
      </c>
      <c r="F2004" t="inlineStr">
        <is>
          <t>Sveaskog</t>
        </is>
      </c>
      <c r="G2004" t="n">
        <v>2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s="2" t="inlineStr"/>
    </row>
    <row r="2005" ht="15" customHeight="1">
      <c r="A2005" t="inlineStr">
        <is>
          <t>A 12701-2020</t>
        </is>
      </c>
      <c r="B2005" s="1" t="n">
        <v>43899</v>
      </c>
      <c r="C2005" s="1" t="n">
        <v>45211</v>
      </c>
      <c r="D2005" t="inlineStr">
        <is>
          <t>ÖSTERGÖTLANDS LÄN</t>
        </is>
      </c>
      <c r="E2005" t="inlineStr">
        <is>
          <t>MOTALA</t>
        </is>
      </c>
      <c r="F2005" t="inlineStr">
        <is>
          <t>Sveaskog</t>
        </is>
      </c>
      <c r="G2005" t="n">
        <v>0.7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s="2" t="inlineStr"/>
    </row>
    <row r="2006" ht="15" customHeight="1">
      <c r="A2006" t="inlineStr">
        <is>
          <t>A 12734-2020</t>
        </is>
      </c>
      <c r="B2006" s="1" t="n">
        <v>43899</v>
      </c>
      <c r="C2006" s="1" t="n">
        <v>45211</v>
      </c>
      <c r="D2006" t="inlineStr">
        <is>
          <t>ÖSTERGÖTLANDS LÄN</t>
        </is>
      </c>
      <c r="E2006" t="inlineStr">
        <is>
          <t>MOTALA</t>
        </is>
      </c>
      <c r="F2006" t="inlineStr">
        <is>
          <t>Sveaskog</t>
        </is>
      </c>
      <c r="G2006" t="n">
        <v>1.5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s="2" t="inlineStr"/>
    </row>
    <row r="2007" ht="15" customHeight="1">
      <c r="A2007" t="inlineStr">
        <is>
          <t>A 12802-2020</t>
        </is>
      </c>
      <c r="B2007" s="1" t="n">
        <v>43899</v>
      </c>
      <c r="C2007" s="1" t="n">
        <v>45211</v>
      </c>
      <c r="D2007" t="inlineStr">
        <is>
          <t>ÖSTERGÖTLANDS LÄN</t>
        </is>
      </c>
      <c r="E2007" t="inlineStr">
        <is>
          <t>SÖDERKÖPING</t>
        </is>
      </c>
      <c r="G2007" t="n">
        <v>0.6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s="2" t="inlineStr"/>
    </row>
    <row r="2008" ht="15" customHeight="1">
      <c r="A2008" t="inlineStr">
        <is>
          <t>A 12640-2020</t>
        </is>
      </c>
      <c r="B2008" s="1" t="n">
        <v>43899</v>
      </c>
      <c r="C2008" s="1" t="n">
        <v>45211</v>
      </c>
      <c r="D2008" t="inlineStr">
        <is>
          <t>ÖSTERGÖTLANDS LÄN</t>
        </is>
      </c>
      <c r="E2008" t="inlineStr">
        <is>
          <t>MJÖLBY</t>
        </is>
      </c>
      <c r="G2008" t="n">
        <v>2.1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s="2" t="inlineStr"/>
    </row>
    <row r="2009" ht="15" customHeight="1">
      <c r="A2009" t="inlineStr">
        <is>
          <t>A 12690-2020</t>
        </is>
      </c>
      <c r="B2009" s="1" t="n">
        <v>43899</v>
      </c>
      <c r="C2009" s="1" t="n">
        <v>45211</v>
      </c>
      <c r="D2009" t="inlineStr">
        <is>
          <t>ÖSTERGÖTLANDS LÄN</t>
        </is>
      </c>
      <c r="E2009" t="inlineStr">
        <is>
          <t>MOTALA</t>
        </is>
      </c>
      <c r="F2009" t="inlineStr">
        <is>
          <t>Sveaskog</t>
        </is>
      </c>
      <c r="G2009" t="n">
        <v>1.7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s="2" t="inlineStr"/>
    </row>
    <row r="2010" ht="15" customHeight="1">
      <c r="A2010" t="inlineStr">
        <is>
          <t>A 12698-2020</t>
        </is>
      </c>
      <c r="B2010" s="1" t="n">
        <v>43899</v>
      </c>
      <c r="C2010" s="1" t="n">
        <v>45211</v>
      </c>
      <c r="D2010" t="inlineStr">
        <is>
          <t>ÖSTERGÖTLANDS LÄN</t>
        </is>
      </c>
      <c r="E2010" t="inlineStr">
        <is>
          <t>YDRE</t>
        </is>
      </c>
      <c r="G2010" t="n">
        <v>1.9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s="2" t="inlineStr"/>
    </row>
    <row r="2011" ht="15" customHeight="1">
      <c r="A2011" t="inlineStr">
        <is>
          <t>A 12782-2020</t>
        </is>
      </c>
      <c r="B2011" s="1" t="n">
        <v>43899</v>
      </c>
      <c r="C2011" s="1" t="n">
        <v>45211</v>
      </c>
      <c r="D2011" t="inlineStr">
        <is>
          <t>ÖSTERGÖTLANDS LÄN</t>
        </is>
      </c>
      <c r="E2011" t="inlineStr">
        <is>
          <t>MOTALA</t>
        </is>
      </c>
      <c r="F2011" t="inlineStr">
        <is>
          <t>Sveaskog</t>
        </is>
      </c>
      <c r="G2011" t="n">
        <v>4.6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s="2" t="inlineStr"/>
    </row>
    <row r="2012" ht="15" customHeight="1">
      <c r="A2012" t="inlineStr">
        <is>
          <t>A 12750-2020</t>
        </is>
      </c>
      <c r="B2012" s="1" t="n">
        <v>43899</v>
      </c>
      <c r="C2012" s="1" t="n">
        <v>45211</v>
      </c>
      <c r="D2012" t="inlineStr">
        <is>
          <t>ÖSTERGÖTLANDS LÄN</t>
        </is>
      </c>
      <c r="E2012" t="inlineStr">
        <is>
          <t>SÖDERKÖPING</t>
        </is>
      </c>
      <c r="G2012" t="n">
        <v>0.4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s="2" t="inlineStr"/>
    </row>
    <row r="2013" ht="15" customHeight="1">
      <c r="A2013" t="inlineStr">
        <is>
          <t>A 12928-2020</t>
        </is>
      </c>
      <c r="B2013" s="1" t="n">
        <v>43900</v>
      </c>
      <c r="C2013" s="1" t="n">
        <v>45211</v>
      </c>
      <c r="D2013" t="inlineStr">
        <is>
          <t>ÖSTERGÖTLANDS LÄN</t>
        </is>
      </c>
      <c r="E2013" t="inlineStr">
        <is>
          <t>VALDEMARSVIK</t>
        </is>
      </c>
      <c r="G2013" t="n">
        <v>0.3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s="2" t="inlineStr"/>
    </row>
    <row r="2014" ht="15" customHeight="1">
      <c r="A2014" t="inlineStr">
        <is>
          <t>A 12951-2020</t>
        </is>
      </c>
      <c r="B2014" s="1" t="n">
        <v>43900</v>
      </c>
      <c r="C2014" s="1" t="n">
        <v>45211</v>
      </c>
      <c r="D2014" t="inlineStr">
        <is>
          <t>ÖSTERGÖTLANDS LÄN</t>
        </is>
      </c>
      <c r="E2014" t="inlineStr">
        <is>
          <t>FINSPÅNG</t>
        </is>
      </c>
      <c r="G2014" t="n">
        <v>2.5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s="2" t="inlineStr"/>
    </row>
    <row r="2015" ht="15" customHeight="1">
      <c r="A2015" t="inlineStr">
        <is>
          <t>A 13021-2020</t>
        </is>
      </c>
      <c r="B2015" s="1" t="n">
        <v>43900</v>
      </c>
      <c r="C2015" s="1" t="n">
        <v>45211</v>
      </c>
      <c r="D2015" t="inlineStr">
        <is>
          <t>ÖSTERGÖTLANDS LÄN</t>
        </is>
      </c>
      <c r="E2015" t="inlineStr">
        <is>
          <t>BOXHOLM</t>
        </is>
      </c>
      <c r="G2015" t="n">
        <v>4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s="2" t="inlineStr"/>
    </row>
    <row r="2016" ht="15" customHeight="1">
      <c r="A2016" t="inlineStr">
        <is>
          <t>A 14213-2020</t>
        </is>
      </c>
      <c r="B2016" s="1" t="n">
        <v>43900</v>
      </c>
      <c r="C2016" s="1" t="n">
        <v>45211</v>
      </c>
      <c r="D2016" t="inlineStr">
        <is>
          <t>ÖSTERGÖTLANDS LÄN</t>
        </is>
      </c>
      <c r="E2016" t="inlineStr">
        <is>
          <t>YDRE</t>
        </is>
      </c>
      <c r="G2016" t="n">
        <v>0.6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s="2" t="inlineStr"/>
    </row>
    <row r="2017" ht="15" customHeight="1">
      <c r="A2017" t="inlineStr">
        <is>
          <t>A 12923-2020</t>
        </is>
      </c>
      <c r="B2017" s="1" t="n">
        <v>43900</v>
      </c>
      <c r="C2017" s="1" t="n">
        <v>45211</v>
      </c>
      <c r="D2017" t="inlineStr">
        <is>
          <t>ÖSTERGÖTLANDS LÄN</t>
        </is>
      </c>
      <c r="E2017" t="inlineStr">
        <is>
          <t>VALDEMARSVIK</t>
        </is>
      </c>
      <c r="G2017" t="n">
        <v>1.5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s="2" t="inlineStr"/>
    </row>
    <row r="2018" ht="15" customHeight="1">
      <c r="A2018" t="inlineStr">
        <is>
          <t>A 13017-2020</t>
        </is>
      </c>
      <c r="B2018" s="1" t="n">
        <v>43900</v>
      </c>
      <c r="C2018" s="1" t="n">
        <v>45211</v>
      </c>
      <c r="D2018" t="inlineStr">
        <is>
          <t>ÖSTERGÖTLANDS LÄN</t>
        </is>
      </c>
      <c r="E2018" t="inlineStr">
        <is>
          <t>BOXHOLM</t>
        </is>
      </c>
      <c r="G2018" t="n">
        <v>7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s="2" t="inlineStr"/>
    </row>
    <row r="2019" ht="15" customHeight="1">
      <c r="A2019" t="inlineStr">
        <is>
          <t>A 13106-2020</t>
        </is>
      </c>
      <c r="B2019" s="1" t="n">
        <v>43901</v>
      </c>
      <c r="C2019" s="1" t="n">
        <v>45211</v>
      </c>
      <c r="D2019" t="inlineStr">
        <is>
          <t>ÖSTERGÖTLANDS LÄN</t>
        </is>
      </c>
      <c r="E2019" t="inlineStr">
        <is>
          <t>SÖDERKÖPING</t>
        </is>
      </c>
      <c r="G2019" t="n">
        <v>2.1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s="2" t="inlineStr"/>
    </row>
    <row r="2020" ht="15" customHeight="1">
      <c r="A2020" t="inlineStr">
        <is>
          <t>A 13156-2020</t>
        </is>
      </c>
      <c r="B2020" s="1" t="n">
        <v>43901</v>
      </c>
      <c r="C2020" s="1" t="n">
        <v>45211</v>
      </c>
      <c r="D2020" t="inlineStr">
        <is>
          <t>ÖSTERGÖTLANDS LÄN</t>
        </is>
      </c>
      <c r="E2020" t="inlineStr">
        <is>
          <t>MOTALA</t>
        </is>
      </c>
      <c r="G2020" t="n">
        <v>2.4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s="2" t="inlineStr"/>
    </row>
    <row r="2021" ht="15" customHeight="1">
      <c r="A2021" t="inlineStr">
        <is>
          <t>A 13252-2020</t>
        </is>
      </c>
      <c r="B2021" s="1" t="n">
        <v>43901</v>
      </c>
      <c r="C2021" s="1" t="n">
        <v>45211</v>
      </c>
      <c r="D2021" t="inlineStr">
        <is>
          <t>ÖSTERGÖTLANDS LÄN</t>
        </is>
      </c>
      <c r="E2021" t="inlineStr">
        <is>
          <t>MOTALA</t>
        </is>
      </c>
      <c r="G2021" t="n">
        <v>1.6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s="2" t="inlineStr"/>
    </row>
    <row r="2022" ht="15" customHeight="1">
      <c r="A2022" t="inlineStr">
        <is>
          <t>A 13093-2020</t>
        </is>
      </c>
      <c r="B2022" s="1" t="n">
        <v>43901</v>
      </c>
      <c r="C2022" s="1" t="n">
        <v>45211</v>
      </c>
      <c r="D2022" t="inlineStr">
        <is>
          <t>ÖSTERGÖTLANDS LÄN</t>
        </is>
      </c>
      <c r="E2022" t="inlineStr">
        <is>
          <t>MOTALA</t>
        </is>
      </c>
      <c r="F2022" t="inlineStr">
        <is>
          <t>Sveaskog</t>
        </is>
      </c>
      <c r="G2022" t="n">
        <v>1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s="2" t="inlineStr"/>
    </row>
    <row r="2023" ht="15" customHeight="1">
      <c r="A2023" t="inlineStr">
        <is>
          <t>A 14631-2020</t>
        </is>
      </c>
      <c r="B2023" s="1" t="n">
        <v>43901</v>
      </c>
      <c r="C2023" s="1" t="n">
        <v>45211</v>
      </c>
      <c r="D2023" t="inlineStr">
        <is>
          <t>ÖSTERGÖTLANDS LÄN</t>
        </is>
      </c>
      <c r="E2023" t="inlineStr">
        <is>
          <t>NORRKÖPING</t>
        </is>
      </c>
      <c r="G2023" t="n">
        <v>1.8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s="2" t="inlineStr"/>
    </row>
    <row r="2024" ht="15" customHeight="1">
      <c r="A2024" t="inlineStr">
        <is>
          <t>A 13391-2020</t>
        </is>
      </c>
      <c r="B2024" s="1" t="n">
        <v>43902</v>
      </c>
      <c r="C2024" s="1" t="n">
        <v>45211</v>
      </c>
      <c r="D2024" t="inlineStr">
        <is>
          <t>ÖSTERGÖTLANDS LÄN</t>
        </is>
      </c>
      <c r="E2024" t="inlineStr">
        <is>
          <t>SÖDERKÖPING</t>
        </is>
      </c>
      <c r="G2024" t="n">
        <v>0.4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s="2" t="inlineStr"/>
    </row>
    <row r="2025" ht="15" customHeight="1">
      <c r="A2025" t="inlineStr">
        <is>
          <t>A 13450-2020</t>
        </is>
      </c>
      <c r="B2025" s="1" t="n">
        <v>43902</v>
      </c>
      <c r="C2025" s="1" t="n">
        <v>45211</v>
      </c>
      <c r="D2025" t="inlineStr">
        <is>
          <t>ÖSTERGÖTLANDS LÄN</t>
        </is>
      </c>
      <c r="E2025" t="inlineStr">
        <is>
          <t>NORRKÖPING</t>
        </is>
      </c>
      <c r="G2025" t="n">
        <v>8.5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s="2" t="inlineStr"/>
    </row>
    <row r="2026" ht="15" customHeight="1">
      <c r="A2026" t="inlineStr">
        <is>
          <t>A 13476-2020</t>
        </is>
      </c>
      <c r="B2026" s="1" t="n">
        <v>43902</v>
      </c>
      <c r="C2026" s="1" t="n">
        <v>45211</v>
      </c>
      <c r="D2026" t="inlineStr">
        <is>
          <t>ÖSTERGÖTLANDS LÄN</t>
        </is>
      </c>
      <c r="E2026" t="inlineStr">
        <is>
          <t>LINKÖPING</t>
        </is>
      </c>
      <c r="G2026" t="n">
        <v>4.8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s="2" t="inlineStr"/>
    </row>
    <row r="2027" ht="15" customHeight="1">
      <c r="A2027" t="inlineStr">
        <is>
          <t>A 13811-2020</t>
        </is>
      </c>
      <c r="B2027" s="1" t="n">
        <v>43905</v>
      </c>
      <c r="C2027" s="1" t="n">
        <v>45211</v>
      </c>
      <c r="D2027" t="inlineStr">
        <is>
          <t>ÖSTERGÖTLANDS LÄN</t>
        </is>
      </c>
      <c r="E2027" t="inlineStr">
        <is>
          <t>MOTALA</t>
        </is>
      </c>
      <c r="F2027" t="inlineStr">
        <is>
          <t>Sveaskog</t>
        </is>
      </c>
      <c r="G2027" t="n">
        <v>1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s="2" t="inlineStr"/>
    </row>
    <row r="2028" ht="15" customHeight="1">
      <c r="A2028" t="inlineStr">
        <is>
          <t>A 13814-2020</t>
        </is>
      </c>
      <c r="B2028" s="1" t="n">
        <v>43905</v>
      </c>
      <c r="C2028" s="1" t="n">
        <v>45211</v>
      </c>
      <c r="D2028" t="inlineStr">
        <is>
          <t>ÖSTERGÖTLANDS LÄN</t>
        </is>
      </c>
      <c r="E2028" t="inlineStr">
        <is>
          <t>MOTALA</t>
        </is>
      </c>
      <c r="F2028" t="inlineStr">
        <is>
          <t>Sveaskog</t>
        </is>
      </c>
      <c r="G2028" t="n">
        <v>1.3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s="2" t="inlineStr"/>
    </row>
    <row r="2029" ht="15" customHeight="1">
      <c r="A2029" t="inlineStr">
        <is>
          <t>A 13970-2020</t>
        </is>
      </c>
      <c r="B2029" s="1" t="n">
        <v>43906</v>
      </c>
      <c r="C2029" s="1" t="n">
        <v>45211</v>
      </c>
      <c r="D2029" t="inlineStr">
        <is>
          <t>ÖSTERGÖTLANDS LÄN</t>
        </is>
      </c>
      <c r="E2029" t="inlineStr">
        <is>
          <t>MOTALA</t>
        </is>
      </c>
      <c r="F2029" t="inlineStr">
        <is>
          <t>Sveaskog</t>
        </is>
      </c>
      <c r="G2029" t="n">
        <v>0.9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s="2" t="inlineStr"/>
    </row>
    <row r="2030" ht="15" customHeight="1">
      <c r="A2030" t="inlineStr">
        <is>
          <t>A 13966-2020</t>
        </is>
      </c>
      <c r="B2030" s="1" t="n">
        <v>43906</v>
      </c>
      <c r="C2030" s="1" t="n">
        <v>45211</v>
      </c>
      <c r="D2030" t="inlineStr">
        <is>
          <t>ÖSTERGÖTLANDS LÄN</t>
        </is>
      </c>
      <c r="E2030" t="inlineStr">
        <is>
          <t>MOTALA</t>
        </is>
      </c>
      <c r="F2030" t="inlineStr">
        <is>
          <t>Sveaskog</t>
        </is>
      </c>
      <c r="G2030" t="n">
        <v>1.8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s="2" t="inlineStr"/>
    </row>
    <row r="2031" ht="15" customHeight="1">
      <c r="A2031" t="inlineStr">
        <is>
          <t>A 13981-2020</t>
        </is>
      </c>
      <c r="B2031" s="1" t="n">
        <v>43906</v>
      </c>
      <c r="C2031" s="1" t="n">
        <v>45211</v>
      </c>
      <c r="D2031" t="inlineStr">
        <is>
          <t>ÖSTERGÖTLANDS LÄN</t>
        </is>
      </c>
      <c r="E2031" t="inlineStr">
        <is>
          <t>FINSPÅNG</t>
        </is>
      </c>
      <c r="F2031" t="inlineStr">
        <is>
          <t>Holmen skog AB</t>
        </is>
      </c>
      <c r="G2031" t="n">
        <v>0.8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s="2" t="inlineStr"/>
    </row>
    <row r="2032" ht="15" customHeight="1">
      <c r="A2032" t="inlineStr">
        <is>
          <t>A 14257-2020</t>
        </is>
      </c>
      <c r="B2032" s="1" t="n">
        <v>43907</v>
      </c>
      <c r="C2032" s="1" t="n">
        <v>45211</v>
      </c>
      <c r="D2032" t="inlineStr">
        <is>
          <t>ÖSTERGÖTLANDS LÄN</t>
        </is>
      </c>
      <c r="E2032" t="inlineStr">
        <is>
          <t>YDRE</t>
        </is>
      </c>
      <c r="G2032" t="n">
        <v>0.5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s="2" t="inlineStr"/>
    </row>
    <row r="2033" ht="15" customHeight="1">
      <c r="A2033" t="inlineStr">
        <is>
          <t>A 14440-2020</t>
        </is>
      </c>
      <c r="B2033" s="1" t="n">
        <v>43908</v>
      </c>
      <c r="C2033" s="1" t="n">
        <v>45211</v>
      </c>
      <c r="D2033" t="inlineStr">
        <is>
          <t>ÖSTERGÖTLANDS LÄN</t>
        </is>
      </c>
      <c r="E2033" t="inlineStr">
        <is>
          <t>MOTALA</t>
        </is>
      </c>
      <c r="F2033" t="inlineStr">
        <is>
          <t>Allmännings- och besparingsskogar</t>
        </is>
      </c>
      <c r="G2033" t="n">
        <v>0.8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s="2" t="inlineStr"/>
    </row>
    <row r="2034" ht="15" customHeight="1">
      <c r="A2034" t="inlineStr">
        <is>
          <t>A 14493-2020</t>
        </is>
      </c>
      <c r="B2034" s="1" t="n">
        <v>43908</v>
      </c>
      <c r="C2034" s="1" t="n">
        <v>45211</v>
      </c>
      <c r="D2034" t="inlineStr">
        <is>
          <t>ÖSTERGÖTLANDS LÄN</t>
        </is>
      </c>
      <c r="E2034" t="inlineStr">
        <is>
          <t>NORRKÖPING</t>
        </is>
      </c>
      <c r="G2034" t="n">
        <v>1.2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s="2" t="inlineStr"/>
    </row>
    <row r="2035" ht="15" customHeight="1">
      <c r="A2035" t="inlineStr">
        <is>
          <t>A 14419-2020</t>
        </is>
      </c>
      <c r="B2035" s="1" t="n">
        <v>43908</v>
      </c>
      <c r="C2035" s="1" t="n">
        <v>45211</v>
      </c>
      <c r="D2035" t="inlineStr">
        <is>
          <t>ÖSTERGÖTLANDS LÄN</t>
        </is>
      </c>
      <c r="E2035" t="inlineStr">
        <is>
          <t>VALDEMARSVIK</t>
        </is>
      </c>
      <c r="G2035" t="n">
        <v>0.5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s="2" t="inlineStr"/>
    </row>
    <row r="2036" ht="15" customHeight="1">
      <c r="A2036" t="inlineStr">
        <is>
          <t>A 14517-2020</t>
        </is>
      </c>
      <c r="B2036" s="1" t="n">
        <v>43908</v>
      </c>
      <c r="C2036" s="1" t="n">
        <v>45211</v>
      </c>
      <c r="D2036" t="inlineStr">
        <is>
          <t>ÖSTERGÖTLANDS LÄN</t>
        </is>
      </c>
      <c r="E2036" t="inlineStr">
        <is>
          <t>VALDEMARSVIK</t>
        </is>
      </c>
      <c r="G2036" t="n">
        <v>2.7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s="2" t="inlineStr"/>
    </row>
    <row r="2037" ht="15" customHeight="1">
      <c r="A2037" t="inlineStr">
        <is>
          <t>A 14500-2020</t>
        </is>
      </c>
      <c r="B2037" s="1" t="n">
        <v>43908</v>
      </c>
      <c r="C2037" s="1" t="n">
        <v>45211</v>
      </c>
      <c r="D2037" t="inlineStr">
        <is>
          <t>ÖSTERGÖTLANDS LÄN</t>
        </is>
      </c>
      <c r="E2037" t="inlineStr">
        <is>
          <t>BOXHOLM</t>
        </is>
      </c>
      <c r="G2037" t="n">
        <v>1.8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s="2" t="inlineStr"/>
    </row>
    <row r="2038" ht="15" customHeight="1">
      <c r="A2038" t="inlineStr">
        <is>
          <t>A 14834-2020</t>
        </is>
      </c>
      <c r="B2038" s="1" t="n">
        <v>43909</v>
      </c>
      <c r="C2038" s="1" t="n">
        <v>45211</v>
      </c>
      <c r="D2038" t="inlineStr">
        <is>
          <t>ÖSTERGÖTLANDS LÄN</t>
        </is>
      </c>
      <c r="E2038" t="inlineStr">
        <is>
          <t>FINSPÅNG</t>
        </is>
      </c>
      <c r="F2038" t="inlineStr">
        <is>
          <t>Övriga Aktiebolag</t>
        </is>
      </c>
      <c r="G2038" t="n">
        <v>8.800000000000001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s="2" t="inlineStr"/>
    </row>
    <row r="2039" ht="15" customHeight="1">
      <c r="A2039" t="inlineStr">
        <is>
          <t>A 16593-2020</t>
        </is>
      </c>
      <c r="B2039" s="1" t="n">
        <v>43909</v>
      </c>
      <c r="C2039" s="1" t="n">
        <v>45211</v>
      </c>
      <c r="D2039" t="inlineStr">
        <is>
          <t>ÖSTERGÖTLANDS LÄN</t>
        </is>
      </c>
      <c r="E2039" t="inlineStr">
        <is>
          <t>ÅTVIDABERG</t>
        </is>
      </c>
      <c r="G2039" t="n">
        <v>3.8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s="2" t="inlineStr"/>
    </row>
    <row r="2040" ht="15" customHeight="1">
      <c r="A2040" t="inlineStr">
        <is>
          <t>A 14849-2020</t>
        </is>
      </c>
      <c r="B2040" s="1" t="n">
        <v>43909</v>
      </c>
      <c r="C2040" s="1" t="n">
        <v>45211</v>
      </c>
      <c r="D2040" t="inlineStr">
        <is>
          <t>ÖSTERGÖTLANDS LÄN</t>
        </is>
      </c>
      <c r="E2040" t="inlineStr">
        <is>
          <t>FINSPÅNG</t>
        </is>
      </c>
      <c r="F2040" t="inlineStr">
        <is>
          <t>Övriga Aktiebolag</t>
        </is>
      </c>
      <c r="G2040" t="n">
        <v>9.4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s="2" t="inlineStr"/>
    </row>
    <row r="2041" ht="15" customHeight="1">
      <c r="A2041" t="inlineStr">
        <is>
          <t>A 14840-2020</t>
        </is>
      </c>
      <c r="B2041" s="1" t="n">
        <v>43909</v>
      </c>
      <c r="C2041" s="1" t="n">
        <v>45211</v>
      </c>
      <c r="D2041" t="inlineStr">
        <is>
          <t>ÖSTERGÖTLANDS LÄN</t>
        </is>
      </c>
      <c r="E2041" t="inlineStr">
        <is>
          <t>FINSPÅNG</t>
        </is>
      </c>
      <c r="F2041" t="inlineStr">
        <is>
          <t>Övriga Aktiebolag</t>
        </is>
      </c>
      <c r="G2041" t="n">
        <v>15.6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s="2" t="inlineStr"/>
    </row>
    <row r="2042" ht="15" customHeight="1">
      <c r="A2042" t="inlineStr">
        <is>
          <t>A 14850-2020</t>
        </is>
      </c>
      <c r="B2042" s="1" t="n">
        <v>43909</v>
      </c>
      <c r="C2042" s="1" t="n">
        <v>45211</v>
      </c>
      <c r="D2042" t="inlineStr">
        <is>
          <t>ÖSTERGÖTLANDS LÄN</t>
        </is>
      </c>
      <c r="E2042" t="inlineStr">
        <is>
          <t>FINSPÅNG</t>
        </is>
      </c>
      <c r="F2042" t="inlineStr">
        <is>
          <t>Övriga Aktiebolag</t>
        </is>
      </c>
      <c r="G2042" t="n">
        <v>6.8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s="2" t="inlineStr"/>
    </row>
    <row r="2043" ht="15" customHeight="1">
      <c r="A2043" t="inlineStr">
        <is>
          <t>A 15047-2020</t>
        </is>
      </c>
      <c r="B2043" s="1" t="n">
        <v>43910</v>
      </c>
      <c r="C2043" s="1" t="n">
        <v>45211</v>
      </c>
      <c r="D2043" t="inlineStr">
        <is>
          <t>ÖSTERGÖTLANDS LÄN</t>
        </is>
      </c>
      <c r="E2043" t="inlineStr">
        <is>
          <t>SÖDERKÖPING</t>
        </is>
      </c>
      <c r="G2043" t="n">
        <v>1.4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s="2" t="inlineStr"/>
    </row>
    <row r="2044" ht="15" customHeight="1">
      <c r="A2044" t="inlineStr">
        <is>
          <t>A 15080-2020</t>
        </is>
      </c>
      <c r="B2044" s="1" t="n">
        <v>43910</v>
      </c>
      <c r="C2044" s="1" t="n">
        <v>45211</v>
      </c>
      <c r="D2044" t="inlineStr">
        <is>
          <t>ÖSTERGÖTLANDS LÄN</t>
        </is>
      </c>
      <c r="E2044" t="inlineStr">
        <is>
          <t>KINDA</t>
        </is>
      </c>
      <c r="G2044" t="n">
        <v>3.1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s="2" t="inlineStr"/>
    </row>
    <row r="2045" ht="15" customHeight="1">
      <c r="A2045" t="inlineStr">
        <is>
          <t>A 14942-2020</t>
        </is>
      </c>
      <c r="B2045" s="1" t="n">
        <v>43910</v>
      </c>
      <c r="C2045" s="1" t="n">
        <v>45211</v>
      </c>
      <c r="D2045" t="inlineStr">
        <is>
          <t>ÖSTERGÖTLANDS LÄN</t>
        </is>
      </c>
      <c r="E2045" t="inlineStr">
        <is>
          <t>NORRKÖPING</t>
        </is>
      </c>
      <c r="F2045" t="inlineStr">
        <is>
          <t>Holmen skog AB</t>
        </is>
      </c>
      <c r="G2045" t="n">
        <v>0.6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s="2" t="inlineStr"/>
    </row>
    <row r="2046" ht="15" customHeight="1">
      <c r="A2046" t="inlineStr">
        <is>
          <t>A 15177-2020</t>
        </is>
      </c>
      <c r="B2046" s="1" t="n">
        <v>43913</v>
      </c>
      <c r="C2046" s="1" t="n">
        <v>45211</v>
      </c>
      <c r="D2046" t="inlineStr">
        <is>
          <t>ÖSTERGÖTLANDS LÄN</t>
        </is>
      </c>
      <c r="E2046" t="inlineStr">
        <is>
          <t>VALDEMARSVIK</t>
        </is>
      </c>
      <c r="G2046" t="n">
        <v>6.4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s="2" t="inlineStr"/>
    </row>
    <row r="2047" ht="15" customHeight="1">
      <c r="A2047" t="inlineStr">
        <is>
          <t>A 15365-2020</t>
        </is>
      </c>
      <c r="B2047" s="1" t="n">
        <v>43913</v>
      </c>
      <c r="C2047" s="1" t="n">
        <v>45211</v>
      </c>
      <c r="D2047" t="inlineStr">
        <is>
          <t>ÖSTERGÖTLANDS LÄN</t>
        </is>
      </c>
      <c r="E2047" t="inlineStr">
        <is>
          <t>SÖDERKÖPING</t>
        </is>
      </c>
      <c r="G2047" t="n">
        <v>0.3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s="2" t="inlineStr"/>
    </row>
    <row r="2048" ht="15" customHeight="1">
      <c r="A2048" t="inlineStr">
        <is>
          <t>A 15204-2020</t>
        </is>
      </c>
      <c r="B2048" s="1" t="n">
        <v>43913</v>
      </c>
      <c r="C2048" s="1" t="n">
        <v>45211</v>
      </c>
      <c r="D2048" t="inlineStr">
        <is>
          <t>ÖSTERGÖTLANDS LÄN</t>
        </is>
      </c>
      <c r="E2048" t="inlineStr">
        <is>
          <t>FINSPÅNG</t>
        </is>
      </c>
      <c r="F2048" t="inlineStr">
        <is>
          <t>Holmen skog AB</t>
        </is>
      </c>
      <c r="G2048" t="n">
        <v>0.4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s="2" t="inlineStr"/>
    </row>
    <row r="2049" ht="15" customHeight="1">
      <c r="A2049" t="inlineStr">
        <is>
          <t>A 15216-2020</t>
        </is>
      </c>
      <c r="B2049" s="1" t="n">
        <v>43913</v>
      </c>
      <c r="C2049" s="1" t="n">
        <v>45211</v>
      </c>
      <c r="D2049" t="inlineStr">
        <is>
          <t>ÖSTERGÖTLANDS LÄN</t>
        </is>
      </c>
      <c r="E2049" t="inlineStr">
        <is>
          <t>FINSPÅNG</t>
        </is>
      </c>
      <c r="F2049" t="inlineStr">
        <is>
          <t>Holmen skog AB</t>
        </is>
      </c>
      <c r="G2049" t="n">
        <v>0.7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s="2" t="inlineStr"/>
    </row>
    <row r="2050" ht="15" customHeight="1">
      <c r="A2050" t="inlineStr">
        <is>
          <t>A 15437-2020</t>
        </is>
      </c>
      <c r="B2050" s="1" t="n">
        <v>43914</v>
      </c>
      <c r="C2050" s="1" t="n">
        <v>45211</v>
      </c>
      <c r="D2050" t="inlineStr">
        <is>
          <t>ÖSTERGÖTLANDS LÄN</t>
        </is>
      </c>
      <c r="E2050" t="inlineStr">
        <is>
          <t>SÖDERKÖPING</t>
        </is>
      </c>
      <c r="G2050" t="n">
        <v>3.6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s="2" t="inlineStr"/>
    </row>
    <row r="2051" ht="15" customHeight="1">
      <c r="A2051" t="inlineStr">
        <is>
          <t>A 15456-2020</t>
        </is>
      </c>
      <c r="B2051" s="1" t="n">
        <v>43914</v>
      </c>
      <c r="C2051" s="1" t="n">
        <v>45211</v>
      </c>
      <c r="D2051" t="inlineStr">
        <is>
          <t>ÖSTERGÖTLANDS LÄN</t>
        </is>
      </c>
      <c r="E2051" t="inlineStr">
        <is>
          <t>SÖDERKÖPING</t>
        </is>
      </c>
      <c r="G2051" t="n">
        <v>4.2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s="2" t="inlineStr"/>
    </row>
    <row r="2052" ht="15" customHeight="1">
      <c r="A2052" t="inlineStr">
        <is>
          <t>A 15565-2020</t>
        </is>
      </c>
      <c r="B2052" s="1" t="n">
        <v>43914</v>
      </c>
      <c r="C2052" s="1" t="n">
        <v>45211</v>
      </c>
      <c r="D2052" t="inlineStr">
        <is>
          <t>ÖSTERGÖTLANDS LÄN</t>
        </is>
      </c>
      <c r="E2052" t="inlineStr">
        <is>
          <t>YDRE</t>
        </is>
      </c>
      <c r="G2052" t="n">
        <v>5.2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s="2" t="inlineStr"/>
    </row>
    <row r="2053" ht="15" customHeight="1">
      <c r="A2053" t="inlineStr">
        <is>
          <t>A 17112-2020</t>
        </is>
      </c>
      <c r="B2053" s="1" t="n">
        <v>43914</v>
      </c>
      <c r="C2053" s="1" t="n">
        <v>45211</v>
      </c>
      <c r="D2053" t="inlineStr">
        <is>
          <t>ÖSTERGÖTLANDS LÄN</t>
        </is>
      </c>
      <c r="E2053" t="inlineStr">
        <is>
          <t>KINDA</t>
        </is>
      </c>
      <c r="G2053" t="n">
        <v>1.4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s="2" t="inlineStr"/>
    </row>
    <row r="2054" ht="15" customHeight="1">
      <c r="A2054" t="inlineStr">
        <is>
          <t>A 15706-2020</t>
        </is>
      </c>
      <c r="B2054" s="1" t="n">
        <v>43915</v>
      </c>
      <c r="C2054" s="1" t="n">
        <v>45211</v>
      </c>
      <c r="D2054" t="inlineStr">
        <is>
          <t>ÖSTERGÖTLANDS LÄN</t>
        </is>
      </c>
      <c r="E2054" t="inlineStr">
        <is>
          <t>LINKÖPING</t>
        </is>
      </c>
      <c r="G2054" t="n">
        <v>2.2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s="2" t="inlineStr"/>
    </row>
    <row r="2055" ht="15" customHeight="1">
      <c r="A2055" t="inlineStr">
        <is>
          <t>A 15715-2020</t>
        </is>
      </c>
      <c r="B2055" s="1" t="n">
        <v>43915</v>
      </c>
      <c r="C2055" s="1" t="n">
        <v>45211</v>
      </c>
      <c r="D2055" t="inlineStr">
        <is>
          <t>ÖSTERGÖTLANDS LÄN</t>
        </is>
      </c>
      <c r="E2055" t="inlineStr">
        <is>
          <t>ÅTVIDABERG</t>
        </is>
      </c>
      <c r="G2055" t="n">
        <v>0.6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s="2" t="inlineStr"/>
    </row>
    <row r="2056" ht="15" customHeight="1">
      <c r="A2056" t="inlineStr">
        <is>
          <t>A 15747-2020</t>
        </is>
      </c>
      <c r="B2056" s="1" t="n">
        <v>43915</v>
      </c>
      <c r="C2056" s="1" t="n">
        <v>45211</v>
      </c>
      <c r="D2056" t="inlineStr">
        <is>
          <t>ÖSTERGÖTLANDS LÄN</t>
        </is>
      </c>
      <c r="E2056" t="inlineStr">
        <is>
          <t>LINKÖPING</t>
        </is>
      </c>
      <c r="G2056" t="n">
        <v>0.6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s="2" t="inlineStr"/>
    </row>
    <row r="2057" ht="15" customHeight="1">
      <c r="A2057" t="inlineStr">
        <is>
          <t>A 15739-2020</t>
        </is>
      </c>
      <c r="B2057" s="1" t="n">
        <v>43915</v>
      </c>
      <c r="C2057" s="1" t="n">
        <v>45211</v>
      </c>
      <c r="D2057" t="inlineStr">
        <is>
          <t>ÖSTERGÖTLANDS LÄN</t>
        </is>
      </c>
      <c r="E2057" t="inlineStr">
        <is>
          <t>LINKÖPING</t>
        </is>
      </c>
      <c r="G2057" t="n">
        <v>3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s="2" t="inlineStr"/>
    </row>
    <row r="2058" ht="15" customHeight="1">
      <c r="A2058" t="inlineStr">
        <is>
          <t>A 15762-2020</t>
        </is>
      </c>
      <c r="B2058" s="1" t="n">
        <v>43915</v>
      </c>
      <c r="C2058" s="1" t="n">
        <v>45211</v>
      </c>
      <c r="D2058" t="inlineStr">
        <is>
          <t>ÖSTERGÖTLANDS LÄN</t>
        </is>
      </c>
      <c r="E2058" t="inlineStr">
        <is>
          <t>LINKÖPING</t>
        </is>
      </c>
      <c r="G2058" t="n">
        <v>1.3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s="2" t="inlineStr"/>
    </row>
    <row r="2059" ht="15" customHeight="1">
      <c r="A2059" t="inlineStr">
        <is>
          <t>A 14728-2020</t>
        </is>
      </c>
      <c r="B2059" s="1" t="n">
        <v>43915</v>
      </c>
      <c r="C2059" s="1" t="n">
        <v>45211</v>
      </c>
      <c r="D2059" t="inlineStr">
        <is>
          <t>ÖSTERGÖTLANDS LÄN</t>
        </is>
      </c>
      <c r="E2059" t="inlineStr">
        <is>
          <t>KINDA</t>
        </is>
      </c>
      <c r="G2059" t="n">
        <v>1.8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s="2" t="inlineStr"/>
    </row>
    <row r="2060" ht="15" customHeight="1">
      <c r="A2060" t="inlineStr">
        <is>
          <t>A 15728-2020</t>
        </is>
      </c>
      <c r="B2060" s="1" t="n">
        <v>43915</v>
      </c>
      <c r="C2060" s="1" t="n">
        <v>45211</v>
      </c>
      <c r="D2060" t="inlineStr">
        <is>
          <t>ÖSTERGÖTLANDS LÄN</t>
        </is>
      </c>
      <c r="E2060" t="inlineStr">
        <is>
          <t>LINKÖPING</t>
        </is>
      </c>
      <c r="G2060" t="n">
        <v>2.8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s="2" t="inlineStr"/>
    </row>
    <row r="2061" ht="15" customHeight="1">
      <c r="A2061" t="inlineStr">
        <is>
          <t>A 15723-2020</t>
        </is>
      </c>
      <c r="B2061" s="1" t="n">
        <v>43915</v>
      </c>
      <c r="C2061" s="1" t="n">
        <v>45211</v>
      </c>
      <c r="D2061" t="inlineStr">
        <is>
          <t>ÖSTERGÖTLANDS LÄN</t>
        </is>
      </c>
      <c r="E2061" t="inlineStr">
        <is>
          <t>SÖDERKÖPING</t>
        </is>
      </c>
      <c r="G2061" t="n">
        <v>1.5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s="2" t="inlineStr"/>
    </row>
    <row r="2062" ht="15" customHeight="1">
      <c r="A2062" t="inlineStr">
        <is>
          <t>A 17251-2020</t>
        </is>
      </c>
      <c r="B2062" s="1" t="n">
        <v>43915</v>
      </c>
      <c r="C2062" s="1" t="n">
        <v>45211</v>
      </c>
      <c r="D2062" t="inlineStr">
        <is>
          <t>ÖSTERGÖTLANDS LÄN</t>
        </is>
      </c>
      <c r="E2062" t="inlineStr">
        <is>
          <t>NORRKÖPING</t>
        </is>
      </c>
      <c r="F2062" t="inlineStr">
        <is>
          <t>Allmännings- och besparingsskogar</t>
        </is>
      </c>
      <c r="G2062" t="n">
        <v>1.5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s="2" t="inlineStr"/>
    </row>
    <row r="2063" ht="15" customHeight="1">
      <c r="A2063" t="inlineStr">
        <is>
          <t>A 16020-2020</t>
        </is>
      </c>
      <c r="B2063" s="1" t="n">
        <v>43916</v>
      </c>
      <c r="C2063" s="1" t="n">
        <v>45211</v>
      </c>
      <c r="D2063" t="inlineStr">
        <is>
          <t>ÖSTERGÖTLANDS LÄN</t>
        </is>
      </c>
      <c r="E2063" t="inlineStr">
        <is>
          <t>ÅTVIDABERG</t>
        </is>
      </c>
      <c r="F2063" t="inlineStr">
        <is>
          <t>Sveaskog</t>
        </is>
      </c>
      <c r="G2063" t="n">
        <v>0.5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s="2" t="inlineStr"/>
    </row>
    <row r="2064" ht="15" customHeight="1">
      <c r="A2064" t="inlineStr">
        <is>
          <t>A 16132-2020</t>
        </is>
      </c>
      <c r="B2064" s="1" t="n">
        <v>43916</v>
      </c>
      <c r="C2064" s="1" t="n">
        <v>45211</v>
      </c>
      <c r="D2064" t="inlineStr">
        <is>
          <t>ÖSTERGÖTLANDS LÄN</t>
        </is>
      </c>
      <c r="E2064" t="inlineStr">
        <is>
          <t>VALDEMARSVIK</t>
        </is>
      </c>
      <c r="G2064" t="n">
        <v>3.1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s="2" t="inlineStr"/>
    </row>
    <row r="2065" ht="15" customHeight="1">
      <c r="A2065" t="inlineStr">
        <is>
          <t>A 16008-2020</t>
        </is>
      </c>
      <c r="B2065" s="1" t="n">
        <v>43916</v>
      </c>
      <c r="C2065" s="1" t="n">
        <v>45211</v>
      </c>
      <c r="D2065" t="inlineStr">
        <is>
          <t>ÖSTERGÖTLANDS LÄN</t>
        </is>
      </c>
      <c r="E2065" t="inlineStr">
        <is>
          <t>FINSPÅNG</t>
        </is>
      </c>
      <c r="F2065" t="inlineStr">
        <is>
          <t>Holmen skog AB</t>
        </is>
      </c>
      <c r="G2065" t="n">
        <v>1.8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s="2" t="inlineStr"/>
    </row>
    <row r="2066" ht="15" customHeight="1">
      <c r="A2066" t="inlineStr">
        <is>
          <t>A 16015-2020</t>
        </is>
      </c>
      <c r="B2066" s="1" t="n">
        <v>43916</v>
      </c>
      <c r="C2066" s="1" t="n">
        <v>45211</v>
      </c>
      <c r="D2066" t="inlineStr">
        <is>
          <t>ÖSTERGÖTLANDS LÄN</t>
        </is>
      </c>
      <c r="E2066" t="inlineStr">
        <is>
          <t>NORRKÖPING</t>
        </is>
      </c>
      <c r="F2066" t="inlineStr">
        <is>
          <t>Holmen skog AB</t>
        </is>
      </c>
      <c r="G2066" t="n">
        <v>0.6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s="2" t="inlineStr"/>
    </row>
    <row r="2067" ht="15" customHeight="1">
      <c r="A2067" t="inlineStr">
        <is>
          <t>A 16515-2020</t>
        </is>
      </c>
      <c r="B2067" s="1" t="n">
        <v>43917</v>
      </c>
      <c r="C2067" s="1" t="n">
        <v>45211</v>
      </c>
      <c r="D2067" t="inlineStr">
        <is>
          <t>ÖSTERGÖTLANDS LÄN</t>
        </is>
      </c>
      <c r="E2067" t="inlineStr">
        <is>
          <t>KINDA</t>
        </is>
      </c>
      <c r="G2067" t="n">
        <v>2.5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s="2" t="inlineStr"/>
    </row>
    <row r="2068" ht="15" customHeight="1">
      <c r="A2068" t="inlineStr">
        <is>
          <t>A 16204-2020</t>
        </is>
      </c>
      <c r="B2068" s="1" t="n">
        <v>43917</v>
      </c>
      <c r="C2068" s="1" t="n">
        <v>45211</v>
      </c>
      <c r="D2068" t="inlineStr">
        <is>
          <t>ÖSTERGÖTLANDS LÄN</t>
        </is>
      </c>
      <c r="E2068" t="inlineStr">
        <is>
          <t>MOTALA</t>
        </is>
      </c>
      <c r="G2068" t="n">
        <v>2.7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s="2" t="inlineStr"/>
    </row>
    <row r="2069" ht="15" customHeight="1">
      <c r="A2069" t="inlineStr">
        <is>
          <t>A 16465-2020</t>
        </is>
      </c>
      <c r="B2069" s="1" t="n">
        <v>43920</v>
      </c>
      <c r="C2069" s="1" t="n">
        <v>45211</v>
      </c>
      <c r="D2069" t="inlineStr">
        <is>
          <t>ÖSTERGÖTLANDS LÄN</t>
        </is>
      </c>
      <c r="E2069" t="inlineStr">
        <is>
          <t>NORRKÖPING</t>
        </is>
      </c>
      <c r="G2069" t="n">
        <v>1.4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s="2" t="inlineStr"/>
    </row>
    <row r="2070" ht="15" customHeight="1">
      <c r="A2070" t="inlineStr">
        <is>
          <t>A 16463-2020</t>
        </is>
      </c>
      <c r="B2070" s="1" t="n">
        <v>43920</v>
      </c>
      <c r="C2070" s="1" t="n">
        <v>45211</v>
      </c>
      <c r="D2070" t="inlineStr">
        <is>
          <t>ÖSTERGÖTLANDS LÄN</t>
        </is>
      </c>
      <c r="E2070" t="inlineStr">
        <is>
          <t>NORRKÖPING</t>
        </is>
      </c>
      <c r="G2070" t="n">
        <v>0.7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s="2" t="inlineStr"/>
    </row>
    <row r="2071" ht="15" customHeight="1">
      <c r="A2071" t="inlineStr">
        <is>
          <t>A 16462-2020</t>
        </is>
      </c>
      <c r="B2071" s="1" t="n">
        <v>43920</v>
      </c>
      <c r="C2071" s="1" t="n">
        <v>45211</v>
      </c>
      <c r="D2071" t="inlineStr">
        <is>
          <t>ÖSTERGÖTLANDS LÄN</t>
        </is>
      </c>
      <c r="E2071" t="inlineStr">
        <is>
          <t>NORRKÖPING</t>
        </is>
      </c>
      <c r="G2071" t="n">
        <v>1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s="2" t="inlineStr"/>
    </row>
    <row r="2072" ht="15" customHeight="1">
      <c r="A2072" t="inlineStr">
        <is>
          <t>A 16659-2020</t>
        </is>
      </c>
      <c r="B2072" s="1" t="n">
        <v>43920</v>
      </c>
      <c r="C2072" s="1" t="n">
        <v>45211</v>
      </c>
      <c r="D2072" t="inlineStr">
        <is>
          <t>ÖSTERGÖTLANDS LÄN</t>
        </is>
      </c>
      <c r="E2072" t="inlineStr">
        <is>
          <t>MOTALA</t>
        </is>
      </c>
      <c r="F2072" t="inlineStr">
        <is>
          <t>Holmen skog AB</t>
        </is>
      </c>
      <c r="G2072" t="n">
        <v>4.4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s="2" t="inlineStr"/>
    </row>
    <row r="2073" ht="15" customHeight="1">
      <c r="A2073" t="inlineStr">
        <is>
          <t>A 17555-2020</t>
        </is>
      </c>
      <c r="B2073" s="1" t="n">
        <v>43921</v>
      </c>
      <c r="C2073" s="1" t="n">
        <v>45211</v>
      </c>
      <c r="D2073" t="inlineStr">
        <is>
          <t>ÖSTERGÖTLANDS LÄN</t>
        </is>
      </c>
      <c r="E2073" t="inlineStr">
        <is>
          <t>BOXHOLM</t>
        </is>
      </c>
      <c r="F2073" t="inlineStr">
        <is>
          <t>Övriga Aktiebolag</t>
        </is>
      </c>
      <c r="G2073" t="n">
        <v>1.9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s="2" t="inlineStr"/>
    </row>
    <row r="2074" ht="15" customHeight="1">
      <c r="A2074" t="inlineStr">
        <is>
          <t>A 17294-2020</t>
        </is>
      </c>
      <c r="B2074" s="1" t="n">
        <v>43922</v>
      </c>
      <c r="C2074" s="1" t="n">
        <v>45211</v>
      </c>
      <c r="D2074" t="inlineStr">
        <is>
          <t>ÖSTERGÖTLANDS LÄN</t>
        </is>
      </c>
      <c r="E2074" t="inlineStr">
        <is>
          <t>MJÖLBY</t>
        </is>
      </c>
      <c r="F2074" t="inlineStr">
        <is>
          <t>Övriga Aktiebolag</t>
        </is>
      </c>
      <c r="G2074" t="n">
        <v>2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s="2" t="inlineStr"/>
    </row>
    <row r="2075" ht="15" customHeight="1">
      <c r="A2075" t="inlineStr">
        <is>
          <t>A 17472-2020</t>
        </is>
      </c>
      <c r="B2075" s="1" t="n">
        <v>43923</v>
      </c>
      <c r="C2075" s="1" t="n">
        <v>45211</v>
      </c>
      <c r="D2075" t="inlineStr">
        <is>
          <t>ÖSTERGÖTLANDS LÄN</t>
        </is>
      </c>
      <c r="E2075" t="inlineStr">
        <is>
          <t>LINKÖPING</t>
        </is>
      </c>
      <c r="G2075" t="n">
        <v>0.9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s="2" t="inlineStr"/>
    </row>
    <row r="2076" ht="15" customHeight="1">
      <c r="A2076" t="inlineStr">
        <is>
          <t>A 17470-2020</t>
        </is>
      </c>
      <c r="B2076" s="1" t="n">
        <v>43923</v>
      </c>
      <c r="C2076" s="1" t="n">
        <v>45211</v>
      </c>
      <c r="D2076" t="inlineStr">
        <is>
          <t>ÖSTERGÖTLANDS LÄN</t>
        </is>
      </c>
      <c r="E2076" t="inlineStr">
        <is>
          <t>LINKÖPING</t>
        </is>
      </c>
      <c r="G2076" t="n">
        <v>5.1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s="2" t="inlineStr"/>
    </row>
    <row r="2077" ht="15" customHeight="1">
      <c r="A2077" t="inlineStr">
        <is>
          <t>A 17872-2020</t>
        </is>
      </c>
      <c r="B2077" s="1" t="n">
        <v>43923</v>
      </c>
      <c r="C2077" s="1" t="n">
        <v>45211</v>
      </c>
      <c r="D2077" t="inlineStr">
        <is>
          <t>ÖSTERGÖTLANDS LÄN</t>
        </is>
      </c>
      <c r="E2077" t="inlineStr">
        <is>
          <t>KINDA</t>
        </is>
      </c>
      <c r="G2077" t="n">
        <v>1.7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s="2" t="inlineStr"/>
    </row>
    <row r="2078" ht="15" customHeight="1">
      <c r="A2078" t="inlineStr">
        <is>
          <t>A 17823-2020</t>
        </is>
      </c>
      <c r="B2078" s="1" t="n">
        <v>43924</v>
      </c>
      <c r="C2078" s="1" t="n">
        <v>45211</v>
      </c>
      <c r="D2078" t="inlineStr">
        <is>
          <t>ÖSTERGÖTLANDS LÄN</t>
        </is>
      </c>
      <c r="E2078" t="inlineStr">
        <is>
          <t>KINDA</t>
        </is>
      </c>
      <c r="G2078" t="n">
        <v>3.5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s="2" t="inlineStr"/>
    </row>
    <row r="2079" ht="15" customHeight="1">
      <c r="A2079" t="inlineStr">
        <is>
          <t>A 18398-2020</t>
        </is>
      </c>
      <c r="B2079" s="1" t="n">
        <v>43928</v>
      </c>
      <c r="C2079" s="1" t="n">
        <v>45211</v>
      </c>
      <c r="D2079" t="inlineStr">
        <is>
          <t>ÖSTERGÖTLANDS LÄN</t>
        </is>
      </c>
      <c r="E2079" t="inlineStr">
        <is>
          <t>YDRE</t>
        </is>
      </c>
      <c r="G2079" t="n">
        <v>2.9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s="2" t="inlineStr"/>
    </row>
    <row r="2080" ht="15" customHeight="1">
      <c r="A2080" t="inlineStr">
        <is>
          <t>A 18220-2020</t>
        </is>
      </c>
      <c r="B2080" s="1" t="n">
        <v>43928</v>
      </c>
      <c r="C2080" s="1" t="n">
        <v>45211</v>
      </c>
      <c r="D2080" t="inlineStr">
        <is>
          <t>ÖSTERGÖTLANDS LÄN</t>
        </is>
      </c>
      <c r="E2080" t="inlineStr">
        <is>
          <t>MJÖLBY</t>
        </is>
      </c>
      <c r="G2080" t="n">
        <v>1.2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s="2" t="inlineStr"/>
    </row>
    <row r="2081" ht="15" customHeight="1">
      <c r="A2081" t="inlineStr">
        <is>
          <t>A 18393-2020</t>
        </is>
      </c>
      <c r="B2081" s="1" t="n">
        <v>43928</v>
      </c>
      <c r="C2081" s="1" t="n">
        <v>45211</v>
      </c>
      <c r="D2081" t="inlineStr">
        <is>
          <t>ÖSTERGÖTLANDS LÄN</t>
        </is>
      </c>
      <c r="E2081" t="inlineStr">
        <is>
          <t>VALDEMARSVIK</t>
        </is>
      </c>
      <c r="G2081" t="n">
        <v>3.5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s="2" t="inlineStr"/>
    </row>
    <row r="2082" ht="15" customHeight="1">
      <c r="A2082" t="inlineStr">
        <is>
          <t>A 18639-2020</t>
        </is>
      </c>
      <c r="B2082" s="1" t="n">
        <v>43928</v>
      </c>
      <c r="C2082" s="1" t="n">
        <v>45211</v>
      </c>
      <c r="D2082" t="inlineStr">
        <is>
          <t>ÖSTERGÖTLANDS LÄN</t>
        </is>
      </c>
      <c r="E2082" t="inlineStr">
        <is>
          <t>MOTALA</t>
        </is>
      </c>
      <c r="G2082" t="n">
        <v>11.4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s="2" t="inlineStr"/>
    </row>
    <row r="2083" ht="15" customHeight="1">
      <c r="A2083" t="inlineStr">
        <is>
          <t>A 18571-2020</t>
        </is>
      </c>
      <c r="B2083" s="1" t="n">
        <v>43929</v>
      </c>
      <c r="C2083" s="1" t="n">
        <v>45211</v>
      </c>
      <c r="D2083" t="inlineStr">
        <is>
          <t>ÖSTERGÖTLANDS LÄN</t>
        </is>
      </c>
      <c r="E2083" t="inlineStr">
        <is>
          <t>MJÖLBY</t>
        </is>
      </c>
      <c r="G2083" t="n">
        <v>3.4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s="2" t="inlineStr"/>
    </row>
    <row r="2084" ht="15" customHeight="1">
      <c r="A2084" t="inlineStr">
        <is>
          <t>A 18572-2020</t>
        </is>
      </c>
      <c r="B2084" s="1" t="n">
        <v>43929</v>
      </c>
      <c r="C2084" s="1" t="n">
        <v>45211</v>
      </c>
      <c r="D2084" t="inlineStr">
        <is>
          <t>ÖSTERGÖTLANDS LÄN</t>
        </is>
      </c>
      <c r="E2084" t="inlineStr">
        <is>
          <t>BOXHOLM</t>
        </is>
      </c>
      <c r="F2084" t="inlineStr">
        <is>
          <t>Övriga Aktiebolag</t>
        </is>
      </c>
      <c r="G2084" t="n">
        <v>8.5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s="2" t="inlineStr"/>
    </row>
    <row r="2085" ht="15" customHeight="1">
      <c r="A2085" t="inlineStr">
        <is>
          <t>A 18863-2020</t>
        </is>
      </c>
      <c r="B2085" s="1" t="n">
        <v>43930</v>
      </c>
      <c r="C2085" s="1" t="n">
        <v>45211</v>
      </c>
      <c r="D2085" t="inlineStr">
        <is>
          <t>ÖSTERGÖTLANDS LÄN</t>
        </is>
      </c>
      <c r="E2085" t="inlineStr">
        <is>
          <t>KINDA</t>
        </is>
      </c>
      <c r="G2085" t="n">
        <v>3.3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s="2" t="inlineStr"/>
    </row>
    <row r="2086" ht="15" customHeight="1">
      <c r="A2086" t="inlineStr">
        <is>
          <t>A 18873-2020</t>
        </is>
      </c>
      <c r="B2086" s="1" t="n">
        <v>43935</v>
      </c>
      <c r="C2086" s="1" t="n">
        <v>45211</v>
      </c>
      <c r="D2086" t="inlineStr">
        <is>
          <t>ÖSTERGÖTLANDS LÄN</t>
        </is>
      </c>
      <c r="E2086" t="inlineStr">
        <is>
          <t>MJÖLBY</t>
        </is>
      </c>
      <c r="F2086" t="inlineStr">
        <is>
          <t>Kommuner</t>
        </is>
      </c>
      <c r="G2086" t="n">
        <v>0.6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s="2" t="inlineStr"/>
    </row>
    <row r="2087" ht="15" customHeight="1">
      <c r="A2087" t="inlineStr">
        <is>
          <t>A 18974-2020</t>
        </is>
      </c>
      <c r="B2087" s="1" t="n">
        <v>43935</v>
      </c>
      <c r="C2087" s="1" t="n">
        <v>45211</v>
      </c>
      <c r="D2087" t="inlineStr">
        <is>
          <t>ÖSTERGÖTLANDS LÄN</t>
        </is>
      </c>
      <c r="E2087" t="inlineStr">
        <is>
          <t>MJÖLBY</t>
        </is>
      </c>
      <c r="G2087" t="n">
        <v>0.8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s="2" t="inlineStr"/>
    </row>
    <row r="2088" ht="15" customHeight="1">
      <c r="A2088" t="inlineStr">
        <is>
          <t>A 19040-2020</t>
        </is>
      </c>
      <c r="B2088" s="1" t="n">
        <v>43936</v>
      </c>
      <c r="C2088" s="1" t="n">
        <v>45211</v>
      </c>
      <c r="D2088" t="inlineStr">
        <is>
          <t>ÖSTERGÖTLANDS LÄN</t>
        </is>
      </c>
      <c r="E2088" t="inlineStr">
        <is>
          <t>KINDA</t>
        </is>
      </c>
      <c r="F2088" t="inlineStr">
        <is>
          <t>Sveaskog</t>
        </is>
      </c>
      <c r="G2088" t="n">
        <v>4.3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s="2" t="inlineStr"/>
    </row>
    <row r="2089" ht="15" customHeight="1">
      <c r="A2089" t="inlineStr">
        <is>
          <t>A 19081-2020</t>
        </is>
      </c>
      <c r="B2089" s="1" t="n">
        <v>43936</v>
      </c>
      <c r="C2089" s="1" t="n">
        <v>45211</v>
      </c>
      <c r="D2089" t="inlineStr">
        <is>
          <t>ÖSTERGÖTLANDS LÄN</t>
        </is>
      </c>
      <c r="E2089" t="inlineStr">
        <is>
          <t>FINSPÅNG</t>
        </is>
      </c>
      <c r="G2089" t="n">
        <v>0.6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s="2" t="inlineStr"/>
    </row>
    <row r="2090" ht="15" customHeight="1">
      <c r="A2090" t="inlineStr">
        <is>
          <t>A 19039-2020</t>
        </is>
      </c>
      <c r="B2090" s="1" t="n">
        <v>43936</v>
      </c>
      <c r="C2090" s="1" t="n">
        <v>45211</v>
      </c>
      <c r="D2090" t="inlineStr">
        <is>
          <t>ÖSTERGÖTLANDS LÄN</t>
        </is>
      </c>
      <c r="E2090" t="inlineStr">
        <is>
          <t>KINDA</t>
        </is>
      </c>
      <c r="F2090" t="inlineStr">
        <is>
          <t>Sveaskog</t>
        </is>
      </c>
      <c r="G2090" t="n">
        <v>2.2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s="2" t="inlineStr"/>
    </row>
    <row r="2091" ht="15" customHeight="1">
      <c r="A2091" t="inlineStr">
        <is>
          <t>A 19088-2020</t>
        </is>
      </c>
      <c r="B2091" s="1" t="n">
        <v>43936</v>
      </c>
      <c r="C2091" s="1" t="n">
        <v>45211</v>
      </c>
      <c r="D2091" t="inlineStr">
        <is>
          <t>ÖSTERGÖTLANDS LÄN</t>
        </is>
      </c>
      <c r="E2091" t="inlineStr">
        <is>
          <t>FINSPÅNG</t>
        </is>
      </c>
      <c r="G2091" t="n">
        <v>0.7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s="2" t="inlineStr"/>
    </row>
    <row r="2092" ht="15" customHeight="1">
      <c r="A2092" t="inlineStr">
        <is>
          <t>A 19101-2020</t>
        </is>
      </c>
      <c r="B2092" s="1" t="n">
        <v>43936</v>
      </c>
      <c r="C2092" s="1" t="n">
        <v>45211</v>
      </c>
      <c r="D2092" t="inlineStr">
        <is>
          <t>ÖSTERGÖTLANDS LÄN</t>
        </is>
      </c>
      <c r="E2092" t="inlineStr">
        <is>
          <t>MOTALA</t>
        </is>
      </c>
      <c r="F2092" t="inlineStr">
        <is>
          <t>Sveaskog</t>
        </is>
      </c>
      <c r="G2092" t="n">
        <v>0.6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s="2" t="inlineStr"/>
    </row>
    <row r="2093" ht="15" customHeight="1">
      <c r="A2093" t="inlineStr">
        <is>
          <t>A 19226-2020</t>
        </is>
      </c>
      <c r="B2093" s="1" t="n">
        <v>43937</v>
      </c>
      <c r="C2093" s="1" t="n">
        <v>45211</v>
      </c>
      <c r="D2093" t="inlineStr">
        <is>
          <t>ÖSTERGÖTLANDS LÄN</t>
        </is>
      </c>
      <c r="E2093" t="inlineStr">
        <is>
          <t>LINKÖPING</t>
        </is>
      </c>
      <c r="G2093" t="n">
        <v>2.9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s="2" t="inlineStr"/>
    </row>
    <row r="2094" ht="15" customHeight="1">
      <c r="A2094" t="inlineStr">
        <is>
          <t>A 19171-2020</t>
        </is>
      </c>
      <c r="B2094" s="1" t="n">
        <v>43937</v>
      </c>
      <c r="C2094" s="1" t="n">
        <v>45211</v>
      </c>
      <c r="D2094" t="inlineStr">
        <is>
          <t>ÖSTERGÖTLANDS LÄN</t>
        </is>
      </c>
      <c r="E2094" t="inlineStr">
        <is>
          <t>KINDA</t>
        </is>
      </c>
      <c r="G2094" t="n">
        <v>1.4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s="2" t="inlineStr"/>
    </row>
    <row r="2095" ht="15" customHeight="1">
      <c r="A2095" t="inlineStr">
        <is>
          <t>A 19346-2020</t>
        </is>
      </c>
      <c r="B2095" s="1" t="n">
        <v>43937</v>
      </c>
      <c r="C2095" s="1" t="n">
        <v>45211</v>
      </c>
      <c r="D2095" t="inlineStr">
        <is>
          <t>ÖSTERGÖTLANDS LÄN</t>
        </is>
      </c>
      <c r="E2095" t="inlineStr">
        <is>
          <t>LINKÖPING</t>
        </is>
      </c>
      <c r="G2095" t="n">
        <v>2.2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s="2" t="inlineStr"/>
    </row>
    <row r="2096" ht="15" customHeight="1">
      <c r="A2096" t="inlineStr">
        <is>
          <t>A 19440-2020</t>
        </is>
      </c>
      <c r="B2096" s="1" t="n">
        <v>43938</v>
      </c>
      <c r="C2096" s="1" t="n">
        <v>45211</v>
      </c>
      <c r="D2096" t="inlineStr">
        <is>
          <t>ÖSTERGÖTLANDS LÄN</t>
        </is>
      </c>
      <c r="E2096" t="inlineStr">
        <is>
          <t>KINDA</t>
        </is>
      </c>
      <c r="F2096" t="inlineStr">
        <is>
          <t>Övriga Aktiebolag</t>
        </is>
      </c>
      <c r="G2096" t="n">
        <v>1.3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s="2" t="inlineStr"/>
    </row>
    <row r="2097" ht="15" customHeight="1">
      <c r="A2097" t="inlineStr">
        <is>
          <t>A 19390-2020</t>
        </is>
      </c>
      <c r="B2097" s="1" t="n">
        <v>43938</v>
      </c>
      <c r="C2097" s="1" t="n">
        <v>45211</v>
      </c>
      <c r="D2097" t="inlineStr">
        <is>
          <t>ÖSTERGÖTLANDS LÄN</t>
        </is>
      </c>
      <c r="E2097" t="inlineStr">
        <is>
          <t>ÅTVIDABERG</t>
        </is>
      </c>
      <c r="G2097" t="n">
        <v>4.8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s="2" t="inlineStr"/>
    </row>
    <row r="2098" ht="15" customHeight="1">
      <c r="A2098" t="inlineStr">
        <is>
          <t>A 19689-2020</t>
        </is>
      </c>
      <c r="B2098" s="1" t="n">
        <v>43941</v>
      </c>
      <c r="C2098" s="1" t="n">
        <v>45211</v>
      </c>
      <c r="D2098" t="inlineStr">
        <is>
          <t>ÖSTERGÖTLANDS LÄN</t>
        </is>
      </c>
      <c r="E2098" t="inlineStr">
        <is>
          <t>KINDA</t>
        </is>
      </c>
      <c r="F2098" t="inlineStr">
        <is>
          <t>Övriga Aktiebolag</t>
        </is>
      </c>
      <c r="G2098" t="n">
        <v>3.2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s="2" t="inlineStr"/>
    </row>
    <row r="2099" ht="15" customHeight="1">
      <c r="A2099" t="inlineStr">
        <is>
          <t>A 19638-2020</t>
        </is>
      </c>
      <c r="B2099" s="1" t="n">
        <v>43941</v>
      </c>
      <c r="C2099" s="1" t="n">
        <v>45211</v>
      </c>
      <c r="D2099" t="inlineStr">
        <is>
          <t>ÖSTERGÖTLANDS LÄN</t>
        </is>
      </c>
      <c r="E2099" t="inlineStr">
        <is>
          <t>LINKÖPING</t>
        </is>
      </c>
      <c r="G2099" t="n">
        <v>0.6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s="2" t="inlineStr"/>
    </row>
    <row r="2100" ht="15" customHeight="1">
      <c r="A2100" t="inlineStr">
        <is>
          <t>A 19854-2020</t>
        </is>
      </c>
      <c r="B2100" s="1" t="n">
        <v>43942</v>
      </c>
      <c r="C2100" s="1" t="n">
        <v>45211</v>
      </c>
      <c r="D2100" t="inlineStr">
        <is>
          <t>ÖSTERGÖTLANDS LÄN</t>
        </is>
      </c>
      <c r="E2100" t="inlineStr">
        <is>
          <t>MJÖLBY</t>
        </is>
      </c>
      <c r="G2100" t="n">
        <v>0.9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s="2" t="inlineStr"/>
    </row>
    <row r="2101" ht="15" customHeight="1">
      <c r="A2101" t="inlineStr">
        <is>
          <t>A 19787-2020</t>
        </is>
      </c>
      <c r="B2101" s="1" t="n">
        <v>43942</v>
      </c>
      <c r="C2101" s="1" t="n">
        <v>45211</v>
      </c>
      <c r="D2101" t="inlineStr">
        <is>
          <t>ÖSTERGÖTLANDS LÄN</t>
        </is>
      </c>
      <c r="E2101" t="inlineStr">
        <is>
          <t>ÅTVIDABERG</t>
        </is>
      </c>
      <c r="G2101" t="n">
        <v>0.4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s="2" t="inlineStr"/>
    </row>
    <row r="2102" ht="15" customHeight="1">
      <c r="A2102" t="inlineStr">
        <is>
          <t>A 19962-2020</t>
        </is>
      </c>
      <c r="B2102" s="1" t="n">
        <v>43942</v>
      </c>
      <c r="C2102" s="1" t="n">
        <v>45211</v>
      </c>
      <c r="D2102" t="inlineStr">
        <is>
          <t>ÖSTERGÖTLANDS LÄN</t>
        </is>
      </c>
      <c r="E2102" t="inlineStr">
        <is>
          <t>MOTALA</t>
        </is>
      </c>
      <c r="G2102" t="n">
        <v>4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s="2" t="inlineStr"/>
    </row>
    <row r="2103" ht="15" customHeight="1">
      <c r="A2103" t="inlineStr">
        <is>
          <t>A 20036-2020</t>
        </is>
      </c>
      <c r="B2103" s="1" t="n">
        <v>43943</v>
      </c>
      <c r="C2103" s="1" t="n">
        <v>45211</v>
      </c>
      <c r="D2103" t="inlineStr">
        <is>
          <t>ÖSTERGÖTLANDS LÄN</t>
        </is>
      </c>
      <c r="E2103" t="inlineStr">
        <is>
          <t>MOTALA</t>
        </is>
      </c>
      <c r="G2103" t="n">
        <v>3.2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s="2" t="inlineStr"/>
    </row>
    <row r="2104" ht="15" customHeight="1">
      <c r="A2104" t="inlineStr">
        <is>
          <t>A 20068-2020</t>
        </is>
      </c>
      <c r="B2104" s="1" t="n">
        <v>43943</v>
      </c>
      <c r="C2104" s="1" t="n">
        <v>45211</v>
      </c>
      <c r="D2104" t="inlineStr">
        <is>
          <t>ÖSTERGÖTLANDS LÄN</t>
        </is>
      </c>
      <c r="E2104" t="inlineStr">
        <is>
          <t>VALDEMARSVIK</t>
        </is>
      </c>
      <c r="G2104" t="n">
        <v>5.7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s="2" t="inlineStr"/>
    </row>
    <row r="2105" ht="15" customHeight="1">
      <c r="A2105" t="inlineStr">
        <is>
          <t>A 20219-2020</t>
        </is>
      </c>
      <c r="B2105" s="1" t="n">
        <v>43944</v>
      </c>
      <c r="C2105" s="1" t="n">
        <v>45211</v>
      </c>
      <c r="D2105" t="inlineStr">
        <is>
          <t>ÖSTERGÖTLANDS LÄN</t>
        </is>
      </c>
      <c r="E2105" t="inlineStr">
        <is>
          <t>LINKÖPING</t>
        </is>
      </c>
      <c r="G2105" t="n">
        <v>3.9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s="2" t="inlineStr"/>
    </row>
    <row r="2106" ht="15" customHeight="1">
      <c r="A2106" t="inlineStr">
        <is>
          <t>A 20307-2020</t>
        </is>
      </c>
      <c r="B2106" s="1" t="n">
        <v>43944</v>
      </c>
      <c r="C2106" s="1" t="n">
        <v>45211</v>
      </c>
      <c r="D2106" t="inlineStr">
        <is>
          <t>ÖSTERGÖTLANDS LÄN</t>
        </is>
      </c>
      <c r="E2106" t="inlineStr">
        <is>
          <t>MOTALA</t>
        </is>
      </c>
      <c r="G2106" t="n">
        <v>1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s="2" t="inlineStr"/>
    </row>
    <row r="2107" ht="15" customHeight="1">
      <c r="A2107" t="inlineStr">
        <is>
          <t>A 20247-2020</t>
        </is>
      </c>
      <c r="B2107" s="1" t="n">
        <v>43945</v>
      </c>
      <c r="C2107" s="1" t="n">
        <v>45211</v>
      </c>
      <c r="D2107" t="inlineStr">
        <is>
          <t>ÖSTERGÖTLANDS LÄN</t>
        </is>
      </c>
      <c r="E2107" t="inlineStr">
        <is>
          <t>YDRE</t>
        </is>
      </c>
      <c r="F2107" t="inlineStr">
        <is>
          <t>Sveaskog</t>
        </is>
      </c>
      <c r="G2107" t="n">
        <v>5.3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s="2" t="inlineStr"/>
    </row>
    <row r="2108" ht="15" customHeight="1">
      <c r="A2108" t="inlineStr">
        <is>
          <t>A 20534-2020</t>
        </is>
      </c>
      <c r="B2108" s="1" t="n">
        <v>43948</v>
      </c>
      <c r="C2108" s="1" t="n">
        <v>45211</v>
      </c>
      <c r="D2108" t="inlineStr">
        <is>
          <t>ÖSTERGÖTLANDS LÄN</t>
        </is>
      </c>
      <c r="E2108" t="inlineStr">
        <is>
          <t>VALDEMARSVIK</t>
        </is>
      </c>
      <c r="G2108" t="n">
        <v>2.2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s="2" t="inlineStr"/>
    </row>
    <row r="2109" ht="15" customHeight="1">
      <c r="A2109" t="inlineStr">
        <is>
          <t>A 20551-2020</t>
        </is>
      </c>
      <c r="B2109" s="1" t="n">
        <v>43948</v>
      </c>
      <c r="C2109" s="1" t="n">
        <v>45211</v>
      </c>
      <c r="D2109" t="inlineStr">
        <is>
          <t>ÖSTERGÖTLANDS LÄN</t>
        </is>
      </c>
      <c r="E2109" t="inlineStr">
        <is>
          <t>FINSPÅNG</t>
        </is>
      </c>
      <c r="F2109" t="inlineStr">
        <is>
          <t>Holmen skog AB</t>
        </is>
      </c>
      <c r="G2109" t="n">
        <v>0.8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s="2" t="inlineStr"/>
    </row>
    <row r="2110" ht="15" customHeight="1">
      <c r="A2110" t="inlineStr">
        <is>
          <t>A 20561-2020</t>
        </is>
      </c>
      <c r="B2110" s="1" t="n">
        <v>43948</v>
      </c>
      <c r="C2110" s="1" t="n">
        <v>45211</v>
      </c>
      <c r="D2110" t="inlineStr">
        <is>
          <t>ÖSTERGÖTLANDS LÄN</t>
        </is>
      </c>
      <c r="E2110" t="inlineStr">
        <is>
          <t>BOXHOLM</t>
        </is>
      </c>
      <c r="F2110" t="inlineStr">
        <is>
          <t>Övriga Aktiebolag</t>
        </is>
      </c>
      <c r="G2110" t="n">
        <v>3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s="2" t="inlineStr"/>
    </row>
    <row r="2111" ht="15" customHeight="1">
      <c r="A2111" t="inlineStr">
        <is>
          <t>A 20859-2020</t>
        </is>
      </c>
      <c r="B2111" s="1" t="n">
        <v>43948</v>
      </c>
      <c r="C2111" s="1" t="n">
        <v>45211</v>
      </c>
      <c r="D2111" t="inlineStr">
        <is>
          <t>ÖSTERGÖTLANDS LÄN</t>
        </is>
      </c>
      <c r="E2111" t="inlineStr">
        <is>
          <t>FINSPÅNG</t>
        </is>
      </c>
      <c r="G2111" t="n">
        <v>3.7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s="2" t="inlineStr"/>
    </row>
    <row r="2112" ht="15" customHeight="1">
      <c r="A2112" t="inlineStr">
        <is>
          <t>A 20775-2020</t>
        </is>
      </c>
      <c r="B2112" s="1" t="n">
        <v>43949</v>
      </c>
      <c r="C2112" s="1" t="n">
        <v>45211</v>
      </c>
      <c r="D2112" t="inlineStr">
        <is>
          <t>ÖSTERGÖTLANDS LÄN</t>
        </is>
      </c>
      <c r="E2112" t="inlineStr">
        <is>
          <t>SÖDERKÖPING</t>
        </is>
      </c>
      <c r="G2112" t="n">
        <v>5.4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s="2" t="inlineStr"/>
    </row>
    <row r="2113" ht="15" customHeight="1">
      <c r="A2113" t="inlineStr">
        <is>
          <t>A 20800-2020</t>
        </is>
      </c>
      <c r="B2113" s="1" t="n">
        <v>43949</v>
      </c>
      <c r="C2113" s="1" t="n">
        <v>45211</v>
      </c>
      <c r="D2113" t="inlineStr">
        <is>
          <t>ÖSTERGÖTLANDS LÄN</t>
        </is>
      </c>
      <c r="E2113" t="inlineStr">
        <is>
          <t>BOXHOLM</t>
        </is>
      </c>
      <c r="G2113" t="n">
        <v>1.2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s="2" t="inlineStr"/>
    </row>
    <row r="2114" ht="15" customHeight="1">
      <c r="A2114" t="inlineStr">
        <is>
          <t>A 20790-2020</t>
        </is>
      </c>
      <c r="B2114" s="1" t="n">
        <v>43949</v>
      </c>
      <c r="C2114" s="1" t="n">
        <v>45211</v>
      </c>
      <c r="D2114" t="inlineStr">
        <is>
          <t>ÖSTERGÖTLANDS LÄN</t>
        </is>
      </c>
      <c r="E2114" t="inlineStr">
        <is>
          <t>VALDEMARSVIK</t>
        </is>
      </c>
      <c r="G2114" t="n">
        <v>3.1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s="2" t="inlineStr"/>
    </row>
    <row r="2115" ht="15" customHeight="1">
      <c r="A2115" t="inlineStr">
        <is>
          <t>A 20746-2020</t>
        </is>
      </c>
      <c r="B2115" s="1" t="n">
        <v>43949</v>
      </c>
      <c r="C2115" s="1" t="n">
        <v>45211</v>
      </c>
      <c r="D2115" t="inlineStr">
        <is>
          <t>ÖSTERGÖTLANDS LÄN</t>
        </is>
      </c>
      <c r="E2115" t="inlineStr">
        <is>
          <t>FINSPÅNG</t>
        </is>
      </c>
      <c r="G2115" t="n">
        <v>1.7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s="2" t="inlineStr"/>
    </row>
    <row r="2116" ht="15" customHeight="1">
      <c r="A2116" t="inlineStr">
        <is>
          <t>A 20907-2020</t>
        </is>
      </c>
      <c r="B2116" s="1" t="n">
        <v>43950</v>
      </c>
      <c r="C2116" s="1" t="n">
        <v>45211</v>
      </c>
      <c r="D2116" t="inlineStr">
        <is>
          <t>ÖSTERGÖTLANDS LÄN</t>
        </is>
      </c>
      <c r="E2116" t="inlineStr">
        <is>
          <t>MOTALA</t>
        </is>
      </c>
      <c r="G2116" t="n">
        <v>2.5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s="2" t="inlineStr"/>
    </row>
    <row r="2117" ht="15" customHeight="1">
      <c r="A2117" t="inlineStr">
        <is>
          <t>A 20839-2020</t>
        </is>
      </c>
      <c r="B2117" s="1" t="n">
        <v>43950</v>
      </c>
      <c r="C2117" s="1" t="n">
        <v>45211</v>
      </c>
      <c r="D2117" t="inlineStr">
        <is>
          <t>ÖSTERGÖTLANDS LÄN</t>
        </is>
      </c>
      <c r="E2117" t="inlineStr">
        <is>
          <t>ÅTVIDABERG</t>
        </is>
      </c>
      <c r="F2117" t="inlineStr">
        <is>
          <t>Sveaskog</t>
        </is>
      </c>
      <c r="G2117" t="n">
        <v>0.7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s="2" t="inlineStr"/>
    </row>
    <row r="2118" ht="15" customHeight="1">
      <c r="A2118" t="inlineStr">
        <is>
          <t>A 21088-2020</t>
        </is>
      </c>
      <c r="B2118" s="1" t="n">
        <v>43951</v>
      </c>
      <c r="C2118" s="1" t="n">
        <v>45211</v>
      </c>
      <c r="D2118" t="inlineStr">
        <is>
          <t>ÖSTERGÖTLANDS LÄN</t>
        </is>
      </c>
      <c r="E2118" t="inlineStr">
        <is>
          <t>MOTALA</t>
        </is>
      </c>
      <c r="F2118" t="inlineStr">
        <is>
          <t>Sveaskog</t>
        </is>
      </c>
      <c r="G2118" t="n">
        <v>2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s="2" t="inlineStr"/>
    </row>
    <row r="2119" ht="15" customHeight="1">
      <c r="A2119" t="inlineStr">
        <is>
          <t>A 21108-2020</t>
        </is>
      </c>
      <c r="B2119" s="1" t="n">
        <v>43951</v>
      </c>
      <c r="C2119" s="1" t="n">
        <v>45211</v>
      </c>
      <c r="D2119" t="inlineStr">
        <is>
          <t>ÖSTERGÖTLANDS LÄN</t>
        </is>
      </c>
      <c r="E2119" t="inlineStr">
        <is>
          <t>MOTALA</t>
        </is>
      </c>
      <c r="F2119" t="inlineStr">
        <is>
          <t>Sveaskog</t>
        </is>
      </c>
      <c r="G2119" t="n">
        <v>0.6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s="2" t="inlineStr"/>
    </row>
    <row r="2120" ht="15" customHeight="1">
      <c r="A2120" t="inlineStr">
        <is>
          <t>A 21105-2020</t>
        </is>
      </c>
      <c r="B2120" s="1" t="n">
        <v>43951</v>
      </c>
      <c r="C2120" s="1" t="n">
        <v>45211</v>
      </c>
      <c r="D2120" t="inlineStr">
        <is>
          <t>ÖSTERGÖTLANDS LÄN</t>
        </is>
      </c>
      <c r="E2120" t="inlineStr">
        <is>
          <t>MOTALA</t>
        </is>
      </c>
      <c r="F2120" t="inlineStr">
        <is>
          <t>Sveaskog</t>
        </is>
      </c>
      <c r="G2120" t="n">
        <v>0.9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s="2" t="inlineStr"/>
    </row>
    <row r="2121" ht="15" customHeight="1">
      <c r="A2121" t="inlineStr">
        <is>
          <t>A 21117-2020</t>
        </is>
      </c>
      <c r="B2121" s="1" t="n">
        <v>43951</v>
      </c>
      <c r="C2121" s="1" t="n">
        <v>45211</v>
      </c>
      <c r="D2121" t="inlineStr">
        <is>
          <t>ÖSTERGÖTLANDS LÄN</t>
        </is>
      </c>
      <c r="E2121" t="inlineStr">
        <is>
          <t>MOTALA</t>
        </is>
      </c>
      <c r="F2121" t="inlineStr">
        <is>
          <t>Sveaskog</t>
        </is>
      </c>
      <c r="G2121" t="n">
        <v>2.7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s="2" t="inlineStr"/>
    </row>
    <row r="2122" ht="15" customHeight="1">
      <c r="A2122" t="inlineStr">
        <is>
          <t>A 21164-2020</t>
        </is>
      </c>
      <c r="B2122" s="1" t="n">
        <v>43951</v>
      </c>
      <c r="C2122" s="1" t="n">
        <v>45211</v>
      </c>
      <c r="D2122" t="inlineStr">
        <is>
          <t>ÖSTERGÖTLANDS LÄN</t>
        </is>
      </c>
      <c r="E2122" t="inlineStr">
        <is>
          <t>VALDEMARSVIK</t>
        </is>
      </c>
      <c r="G2122" t="n">
        <v>1.3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s="2" t="inlineStr"/>
    </row>
    <row r="2123" ht="15" customHeight="1">
      <c r="A2123" t="inlineStr">
        <is>
          <t>A 21086-2020</t>
        </is>
      </c>
      <c r="B2123" s="1" t="n">
        <v>43951</v>
      </c>
      <c r="C2123" s="1" t="n">
        <v>45211</v>
      </c>
      <c r="D2123" t="inlineStr">
        <is>
          <t>ÖSTERGÖTLANDS LÄN</t>
        </is>
      </c>
      <c r="E2123" t="inlineStr">
        <is>
          <t>MOTALA</t>
        </is>
      </c>
      <c r="F2123" t="inlineStr">
        <is>
          <t>Sveaskog</t>
        </is>
      </c>
      <c r="G2123" t="n">
        <v>0.5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s="2" t="inlineStr"/>
    </row>
    <row r="2124" ht="15" customHeight="1">
      <c r="A2124" t="inlineStr">
        <is>
          <t>A 21100-2020</t>
        </is>
      </c>
      <c r="B2124" s="1" t="n">
        <v>43951</v>
      </c>
      <c r="C2124" s="1" t="n">
        <v>45211</v>
      </c>
      <c r="D2124" t="inlineStr">
        <is>
          <t>ÖSTERGÖTLANDS LÄN</t>
        </is>
      </c>
      <c r="E2124" t="inlineStr">
        <is>
          <t>MOTALA</t>
        </is>
      </c>
      <c r="F2124" t="inlineStr">
        <is>
          <t>Sveaskog</t>
        </is>
      </c>
      <c r="G2124" t="n">
        <v>4.8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s="2" t="inlineStr"/>
    </row>
    <row r="2125" ht="15" customHeight="1">
      <c r="A2125" t="inlineStr">
        <is>
          <t>A 21090-2020</t>
        </is>
      </c>
      <c r="B2125" s="1" t="n">
        <v>43951</v>
      </c>
      <c r="C2125" s="1" t="n">
        <v>45211</v>
      </c>
      <c r="D2125" t="inlineStr">
        <is>
          <t>ÖSTERGÖTLANDS LÄN</t>
        </is>
      </c>
      <c r="E2125" t="inlineStr">
        <is>
          <t>MOTALA</t>
        </is>
      </c>
      <c r="F2125" t="inlineStr">
        <is>
          <t>Sveaskog</t>
        </is>
      </c>
      <c r="G2125" t="n">
        <v>1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s="2" t="inlineStr"/>
    </row>
    <row r="2126" ht="15" customHeight="1">
      <c r="A2126" t="inlineStr">
        <is>
          <t>A 21104-2020</t>
        </is>
      </c>
      <c r="B2126" s="1" t="n">
        <v>43951</v>
      </c>
      <c r="C2126" s="1" t="n">
        <v>45211</v>
      </c>
      <c r="D2126" t="inlineStr">
        <is>
          <t>ÖSTERGÖTLANDS LÄN</t>
        </is>
      </c>
      <c r="E2126" t="inlineStr">
        <is>
          <t>MOTALA</t>
        </is>
      </c>
      <c r="F2126" t="inlineStr">
        <is>
          <t>Sveaskog</t>
        </is>
      </c>
      <c r="G2126" t="n">
        <v>2.7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s="2" t="inlineStr"/>
    </row>
    <row r="2127" ht="15" customHeight="1">
      <c r="A2127" t="inlineStr">
        <is>
          <t>A 21111-2020</t>
        </is>
      </c>
      <c r="B2127" s="1" t="n">
        <v>43951</v>
      </c>
      <c r="C2127" s="1" t="n">
        <v>45211</v>
      </c>
      <c r="D2127" t="inlineStr">
        <is>
          <t>ÖSTERGÖTLANDS LÄN</t>
        </is>
      </c>
      <c r="E2127" t="inlineStr">
        <is>
          <t>MOTALA</t>
        </is>
      </c>
      <c r="F2127" t="inlineStr">
        <is>
          <t>Sveaskog</t>
        </is>
      </c>
      <c r="G2127" t="n">
        <v>1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s="2" t="inlineStr"/>
    </row>
    <row r="2128" ht="15" customHeight="1">
      <c r="A2128" t="inlineStr">
        <is>
          <t>A 21181-2020</t>
        </is>
      </c>
      <c r="B2128" s="1" t="n">
        <v>43951</v>
      </c>
      <c r="C2128" s="1" t="n">
        <v>45211</v>
      </c>
      <c r="D2128" t="inlineStr">
        <is>
          <t>ÖSTERGÖTLANDS LÄN</t>
        </is>
      </c>
      <c r="E2128" t="inlineStr">
        <is>
          <t>ÖDESHÖG</t>
        </is>
      </c>
      <c r="G2128" t="n">
        <v>2.4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s="2" t="inlineStr"/>
    </row>
    <row r="2129" ht="15" customHeight="1">
      <c r="A2129" t="inlineStr">
        <is>
          <t>A 21390-2020</t>
        </is>
      </c>
      <c r="B2129" s="1" t="n">
        <v>43955</v>
      </c>
      <c r="C2129" s="1" t="n">
        <v>45211</v>
      </c>
      <c r="D2129" t="inlineStr">
        <is>
          <t>ÖSTERGÖTLANDS LÄN</t>
        </is>
      </c>
      <c r="E2129" t="inlineStr">
        <is>
          <t>YDRE</t>
        </is>
      </c>
      <c r="G2129" t="n">
        <v>2.7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s="2" t="inlineStr"/>
    </row>
    <row r="2130" ht="15" customHeight="1">
      <c r="A2130" t="inlineStr">
        <is>
          <t>A 21512-2020</t>
        </is>
      </c>
      <c r="B2130" s="1" t="n">
        <v>43956</v>
      </c>
      <c r="C2130" s="1" t="n">
        <v>45211</v>
      </c>
      <c r="D2130" t="inlineStr">
        <is>
          <t>ÖSTERGÖTLANDS LÄN</t>
        </is>
      </c>
      <c r="E2130" t="inlineStr">
        <is>
          <t>KINDA</t>
        </is>
      </c>
      <c r="G2130" t="n">
        <v>2.1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s="2" t="inlineStr"/>
    </row>
    <row r="2131" ht="15" customHeight="1">
      <c r="A2131" t="inlineStr">
        <is>
          <t>A 21583-2020</t>
        </is>
      </c>
      <c r="B2131" s="1" t="n">
        <v>43956</v>
      </c>
      <c r="C2131" s="1" t="n">
        <v>45211</v>
      </c>
      <c r="D2131" t="inlineStr">
        <is>
          <t>ÖSTERGÖTLANDS LÄN</t>
        </is>
      </c>
      <c r="E2131" t="inlineStr">
        <is>
          <t>FINSPÅNG</t>
        </is>
      </c>
      <c r="G2131" t="n">
        <v>2.2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s="2" t="inlineStr"/>
    </row>
    <row r="2132" ht="15" customHeight="1">
      <c r="A2132" t="inlineStr">
        <is>
          <t>A 21502-2020</t>
        </is>
      </c>
      <c r="B2132" s="1" t="n">
        <v>43956</v>
      </c>
      <c r="C2132" s="1" t="n">
        <v>45211</v>
      </c>
      <c r="D2132" t="inlineStr">
        <is>
          <t>ÖSTERGÖTLANDS LÄN</t>
        </is>
      </c>
      <c r="E2132" t="inlineStr">
        <is>
          <t>KINDA</t>
        </is>
      </c>
      <c r="G2132" t="n">
        <v>5.9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s="2" t="inlineStr"/>
    </row>
    <row r="2133" ht="15" customHeight="1">
      <c r="A2133" t="inlineStr">
        <is>
          <t>A 21487-2020</t>
        </is>
      </c>
      <c r="B2133" s="1" t="n">
        <v>43956</v>
      </c>
      <c r="C2133" s="1" t="n">
        <v>45211</v>
      </c>
      <c r="D2133" t="inlineStr">
        <is>
          <t>ÖSTERGÖTLANDS LÄN</t>
        </is>
      </c>
      <c r="E2133" t="inlineStr">
        <is>
          <t>FINSPÅNG</t>
        </is>
      </c>
      <c r="G2133" t="n">
        <v>1.1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s="2" t="inlineStr"/>
    </row>
    <row r="2134" ht="15" customHeight="1">
      <c r="A2134" t="inlineStr">
        <is>
          <t>A 21505-2020</t>
        </is>
      </c>
      <c r="B2134" s="1" t="n">
        <v>43956</v>
      </c>
      <c r="C2134" s="1" t="n">
        <v>45211</v>
      </c>
      <c r="D2134" t="inlineStr">
        <is>
          <t>ÖSTERGÖTLANDS LÄN</t>
        </is>
      </c>
      <c r="E2134" t="inlineStr">
        <is>
          <t>KINDA</t>
        </is>
      </c>
      <c r="G2134" t="n">
        <v>5.2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s="2" t="inlineStr"/>
    </row>
    <row r="2135" ht="15" customHeight="1">
      <c r="A2135" t="inlineStr">
        <is>
          <t>A 21475-2020</t>
        </is>
      </c>
      <c r="B2135" s="1" t="n">
        <v>43956</v>
      </c>
      <c r="C2135" s="1" t="n">
        <v>45211</v>
      </c>
      <c r="D2135" t="inlineStr">
        <is>
          <t>ÖSTERGÖTLANDS LÄN</t>
        </is>
      </c>
      <c r="E2135" t="inlineStr">
        <is>
          <t>KINDA</t>
        </is>
      </c>
      <c r="G2135" t="n">
        <v>1.5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s="2" t="inlineStr"/>
    </row>
    <row r="2136" ht="15" customHeight="1">
      <c r="A2136" t="inlineStr">
        <is>
          <t>A 21504-2020</t>
        </is>
      </c>
      <c r="B2136" s="1" t="n">
        <v>43956</v>
      </c>
      <c r="C2136" s="1" t="n">
        <v>45211</v>
      </c>
      <c r="D2136" t="inlineStr">
        <is>
          <t>ÖSTERGÖTLANDS LÄN</t>
        </is>
      </c>
      <c r="E2136" t="inlineStr">
        <is>
          <t>KINDA</t>
        </is>
      </c>
      <c r="G2136" t="n">
        <v>4.9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s="2" t="inlineStr"/>
    </row>
    <row r="2137" ht="15" customHeight="1">
      <c r="A2137" t="inlineStr">
        <is>
          <t>A 21614-2020</t>
        </is>
      </c>
      <c r="B2137" s="1" t="n">
        <v>43957</v>
      </c>
      <c r="C2137" s="1" t="n">
        <v>45211</v>
      </c>
      <c r="D2137" t="inlineStr">
        <is>
          <t>ÖSTERGÖTLANDS LÄN</t>
        </is>
      </c>
      <c r="E2137" t="inlineStr">
        <is>
          <t>MJÖLBY</t>
        </is>
      </c>
      <c r="F2137" t="inlineStr">
        <is>
          <t>Sveaskog</t>
        </is>
      </c>
      <c r="G2137" t="n">
        <v>1.1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s="2" t="inlineStr"/>
    </row>
    <row r="2138" ht="15" customHeight="1">
      <c r="A2138" t="inlineStr">
        <is>
          <t>A 22328-2020</t>
        </is>
      </c>
      <c r="B2138" s="1" t="n">
        <v>43957</v>
      </c>
      <c r="C2138" s="1" t="n">
        <v>45211</v>
      </c>
      <c r="D2138" t="inlineStr">
        <is>
          <t>ÖSTERGÖTLANDS LÄN</t>
        </is>
      </c>
      <c r="E2138" t="inlineStr">
        <is>
          <t>KINDA</t>
        </is>
      </c>
      <c r="G2138" t="n">
        <v>1.1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s="2" t="inlineStr"/>
    </row>
    <row r="2139" ht="15" customHeight="1">
      <c r="A2139" t="inlineStr">
        <is>
          <t>A 22366-2020</t>
        </is>
      </c>
      <c r="B2139" s="1" t="n">
        <v>43957</v>
      </c>
      <c r="C2139" s="1" t="n">
        <v>45211</v>
      </c>
      <c r="D2139" t="inlineStr">
        <is>
          <t>ÖSTERGÖTLANDS LÄN</t>
        </is>
      </c>
      <c r="E2139" t="inlineStr">
        <is>
          <t>MJÖLBY</t>
        </is>
      </c>
      <c r="G2139" t="n">
        <v>3.5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s="2" t="inlineStr"/>
    </row>
    <row r="2140" ht="15" customHeight="1">
      <c r="A2140" t="inlineStr">
        <is>
          <t>A 21611-2020</t>
        </is>
      </c>
      <c r="B2140" s="1" t="n">
        <v>43957</v>
      </c>
      <c r="C2140" s="1" t="n">
        <v>45211</v>
      </c>
      <c r="D2140" t="inlineStr">
        <is>
          <t>ÖSTERGÖTLANDS LÄN</t>
        </is>
      </c>
      <c r="E2140" t="inlineStr">
        <is>
          <t>KINDA</t>
        </is>
      </c>
      <c r="F2140" t="inlineStr">
        <is>
          <t>Sveaskog</t>
        </is>
      </c>
      <c r="G2140" t="n">
        <v>0.9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s="2" t="inlineStr"/>
    </row>
    <row r="2141" ht="15" customHeight="1">
      <c r="A2141" t="inlineStr">
        <is>
          <t>A 21705-2020</t>
        </is>
      </c>
      <c r="B2141" s="1" t="n">
        <v>43957</v>
      </c>
      <c r="C2141" s="1" t="n">
        <v>45211</v>
      </c>
      <c r="D2141" t="inlineStr">
        <is>
          <t>ÖSTERGÖTLANDS LÄN</t>
        </is>
      </c>
      <c r="E2141" t="inlineStr">
        <is>
          <t>ÅTVIDABERG</t>
        </is>
      </c>
      <c r="G2141" t="n">
        <v>0.8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s="2" t="inlineStr"/>
    </row>
    <row r="2142" ht="15" customHeight="1">
      <c r="A2142" t="inlineStr">
        <is>
          <t>A 21886-2020</t>
        </is>
      </c>
      <c r="B2142" s="1" t="n">
        <v>43958</v>
      </c>
      <c r="C2142" s="1" t="n">
        <v>45211</v>
      </c>
      <c r="D2142" t="inlineStr">
        <is>
          <t>ÖSTERGÖTLANDS LÄN</t>
        </is>
      </c>
      <c r="E2142" t="inlineStr">
        <is>
          <t>ÖDESHÖG</t>
        </is>
      </c>
      <c r="F2142" t="inlineStr">
        <is>
          <t>Allmännings- och besparingsskogar</t>
        </is>
      </c>
      <c r="G2142" t="n">
        <v>1.2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s="2" t="inlineStr"/>
    </row>
    <row r="2143" ht="15" customHeight="1">
      <c r="A2143" t="inlineStr">
        <is>
          <t>A 21911-2020</t>
        </is>
      </c>
      <c r="B2143" s="1" t="n">
        <v>43958</v>
      </c>
      <c r="C2143" s="1" t="n">
        <v>45211</v>
      </c>
      <c r="D2143" t="inlineStr">
        <is>
          <t>ÖSTERGÖTLANDS LÄN</t>
        </is>
      </c>
      <c r="E2143" t="inlineStr">
        <is>
          <t>YDRE</t>
        </is>
      </c>
      <c r="G2143" t="n">
        <v>2.9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s="2" t="inlineStr"/>
    </row>
    <row r="2144" ht="15" customHeight="1">
      <c r="A2144" t="inlineStr">
        <is>
          <t>A 21881-2020</t>
        </is>
      </c>
      <c r="B2144" s="1" t="n">
        <v>43958</v>
      </c>
      <c r="C2144" s="1" t="n">
        <v>45211</v>
      </c>
      <c r="D2144" t="inlineStr">
        <is>
          <t>ÖSTERGÖTLANDS LÄN</t>
        </is>
      </c>
      <c r="E2144" t="inlineStr">
        <is>
          <t>ÖDESHÖG</t>
        </is>
      </c>
      <c r="F2144" t="inlineStr">
        <is>
          <t>Allmännings- och besparingsskogar</t>
        </is>
      </c>
      <c r="G2144" t="n">
        <v>5.6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s="2" t="inlineStr"/>
    </row>
    <row r="2145" ht="15" customHeight="1">
      <c r="A2145" t="inlineStr">
        <is>
          <t>A 21883-2020</t>
        </is>
      </c>
      <c r="B2145" s="1" t="n">
        <v>43958</v>
      </c>
      <c r="C2145" s="1" t="n">
        <v>45211</v>
      </c>
      <c r="D2145" t="inlineStr">
        <is>
          <t>ÖSTERGÖTLANDS LÄN</t>
        </is>
      </c>
      <c r="E2145" t="inlineStr">
        <is>
          <t>ÖDESHÖG</t>
        </is>
      </c>
      <c r="F2145" t="inlineStr">
        <is>
          <t>Allmännings- och besparingsskogar</t>
        </is>
      </c>
      <c r="G2145" t="n">
        <v>1.3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s="2" t="inlineStr"/>
    </row>
    <row r="2146" ht="15" customHeight="1">
      <c r="A2146" t="inlineStr">
        <is>
          <t>A 21999-2020</t>
        </is>
      </c>
      <c r="B2146" s="1" t="n">
        <v>43959</v>
      </c>
      <c r="C2146" s="1" t="n">
        <v>45211</v>
      </c>
      <c r="D2146" t="inlineStr">
        <is>
          <t>ÖSTERGÖTLANDS LÄN</t>
        </is>
      </c>
      <c r="E2146" t="inlineStr">
        <is>
          <t>SÖDERKÖPING</t>
        </is>
      </c>
      <c r="G2146" t="n">
        <v>13.4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s="2" t="inlineStr"/>
    </row>
    <row r="2147" ht="15" customHeight="1">
      <c r="A2147" t="inlineStr">
        <is>
          <t>A 21980-2020</t>
        </is>
      </c>
      <c r="B2147" s="1" t="n">
        <v>43959</v>
      </c>
      <c r="C2147" s="1" t="n">
        <v>45211</v>
      </c>
      <c r="D2147" t="inlineStr">
        <is>
          <t>ÖSTERGÖTLANDS LÄN</t>
        </is>
      </c>
      <c r="E2147" t="inlineStr">
        <is>
          <t>LINKÖPING</t>
        </is>
      </c>
      <c r="G2147" t="n">
        <v>8.300000000000001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s="2" t="inlineStr"/>
    </row>
    <row r="2148" ht="15" customHeight="1">
      <c r="A2148" t="inlineStr">
        <is>
          <t>A 22631-2020</t>
        </is>
      </c>
      <c r="B2148" s="1" t="n">
        <v>43963</v>
      </c>
      <c r="C2148" s="1" t="n">
        <v>45211</v>
      </c>
      <c r="D2148" t="inlineStr">
        <is>
          <t>ÖSTERGÖTLANDS LÄN</t>
        </is>
      </c>
      <c r="E2148" t="inlineStr">
        <is>
          <t>FINSPÅNG</t>
        </is>
      </c>
      <c r="G2148" t="n">
        <v>0.8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s="2" t="inlineStr"/>
    </row>
    <row r="2149" ht="15" customHeight="1">
      <c r="A2149" t="inlineStr">
        <is>
          <t>A 22675-2020</t>
        </is>
      </c>
      <c r="B2149" s="1" t="n">
        <v>43963</v>
      </c>
      <c r="C2149" s="1" t="n">
        <v>45211</v>
      </c>
      <c r="D2149" t="inlineStr">
        <is>
          <t>ÖSTERGÖTLANDS LÄN</t>
        </is>
      </c>
      <c r="E2149" t="inlineStr">
        <is>
          <t>ÖDESHÖG</t>
        </is>
      </c>
      <c r="G2149" t="n">
        <v>0.2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s="2" t="inlineStr"/>
    </row>
    <row r="2150" ht="15" customHeight="1">
      <c r="A2150" t="inlineStr">
        <is>
          <t>A 22595-2020</t>
        </is>
      </c>
      <c r="B2150" s="1" t="n">
        <v>43963</v>
      </c>
      <c r="C2150" s="1" t="n">
        <v>45211</v>
      </c>
      <c r="D2150" t="inlineStr">
        <is>
          <t>ÖSTERGÖTLANDS LÄN</t>
        </is>
      </c>
      <c r="E2150" t="inlineStr">
        <is>
          <t>MOTALA</t>
        </is>
      </c>
      <c r="G2150" t="n">
        <v>8.9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s="2" t="inlineStr"/>
    </row>
    <row r="2151" ht="15" customHeight="1">
      <c r="A2151" t="inlineStr">
        <is>
          <t>A 22602-2020</t>
        </is>
      </c>
      <c r="B2151" s="1" t="n">
        <v>43963</v>
      </c>
      <c r="C2151" s="1" t="n">
        <v>45211</v>
      </c>
      <c r="D2151" t="inlineStr">
        <is>
          <t>ÖSTERGÖTLANDS LÄN</t>
        </is>
      </c>
      <c r="E2151" t="inlineStr">
        <is>
          <t>LINKÖPING</t>
        </is>
      </c>
      <c r="G2151" t="n">
        <v>1.5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s="2" t="inlineStr"/>
    </row>
    <row r="2152" ht="15" customHeight="1">
      <c r="A2152" t="inlineStr">
        <is>
          <t>A 22671-2020</t>
        </is>
      </c>
      <c r="B2152" s="1" t="n">
        <v>43963</v>
      </c>
      <c r="C2152" s="1" t="n">
        <v>45211</v>
      </c>
      <c r="D2152" t="inlineStr">
        <is>
          <t>ÖSTERGÖTLANDS LÄN</t>
        </is>
      </c>
      <c r="E2152" t="inlineStr">
        <is>
          <t>ÖDESHÖG</t>
        </is>
      </c>
      <c r="G2152" t="n">
        <v>0.9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s="2" t="inlineStr"/>
    </row>
    <row r="2153" ht="15" customHeight="1">
      <c r="A2153" t="inlineStr">
        <is>
          <t>A 22689-2020</t>
        </is>
      </c>
      <c r="B2153" s="1" t="n">
        <v>43963</v>
      </c>
      <c r="C2153" s="1" t="n">
        <v>45211</v>
      </c>
      <c r="D2153" t="inlineStr">
        <is>
          <t>ÖSTERGÖTLANDS LÄN</t>
        </is>
      </c>
      <c r="E2153" t="inlineStr">
        <is>
          <t>YDRE</t>
        </is>
      </c>
      <c r="F2153" t="inlineStr">
        <is>
          <t>Sveaskog</t>
        </is>
      </c>
      <c r="G2153" t="n">
        <v>0.7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s="2" t="inlineStr"/>
    </row>
    <row r="2154" ht="15" customHeight="1">
      <c r="A2154" t="inlineStr">
        <is>
          <t>A 22672-2020</t>
        </is>
      </c>
      <c r="B2154" s="1" t="n">
        <v>43963</v>
      </c>
      <c r="C2154" s="1" t="n">
        <v>45211</v>
      </c>
      <c r="D2154" t="inlineStr">
        <is>
          <t>ÖSTERGÖTLANDS LÄN</t>
        </is>
      </c>
      <c r="E2154" t="inlineStr">
        <is>
          <t>ÖDESHÖG</t>
        </is>
      </c>
      <c r="G2154" t="n">
        <v>0.3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s="2" t="inlineStr"/>
    </row>
    <row r="2155" ht="15" customHeight="1">
      <c r="A2155" t="inlineStr">
        <is>
          <t>A 22885-2020</t>
        </is>
      </c>
      <c r="B2155" s="1" t="n">
        <v>43964</v>
      </c>
      <c r="C2155" s="1" t="n">
        <v>45211</v>
      </c>
      <c r="D2155" t="inlineStr">
        <is>
          <t>ÖSTERGÖTLANDS LÄN</t>
        </is>
      </c>
      <c r="E2155" t="inlineStr">
        <is>
          <t>YDRE</t>
        </is>
      </c>
      <c r="F2155" t="inlineStr">
        <is>
          <t>Sveaskog</t>
        </is>
      </c>
      <c r="G2155" t="n">
        <v>0.9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s="2" t="inlineStr"/>
    </row>
    <row r="2156" ht="15" customHeight="1">
      <c r="A2156" t="inlineStr">
        <is>
          <t>A 22883-2020</t>
        </is>
      </c>
      <c r="B2156" s="1" t="n">
        <v>43964</v>
      </c>
      <c r="C2156" s="1" t="n">
        <v>45211</v>
      </c>
      <c r="D2156" t="inlineStr">
        <is>
          <t>ÖSTERGÖTLANDS LÄN</t>
        </is>
      </c>
      <c r="E2156" t="inlineStr">
        <is>
          <t>YDRE</t>
        </is>
      </c>
      <c r="F2156" t="inlineStr">
        <is>
          <t>Sveaskog</t>
        </is>
      </c>
      <c r="G2156" t="n">
        <v>0.7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s="2" t="inlineStr"/>
    </row>
    <row r="2157" ht="15" customHeight="1">
      <c r="A2157" t="inlineStr">
        <is>
          <t>A 22776-2020</t>
        </is>
      </c>
      <c r="B2157" s="1" t="n">
        <v>43964</v>
      </c>
      <c r="C2157" s="1" t="n">
        <v>45211</v>
      </c>
      <c r="D2157" t="inlineStr">
        <is>
          <t>ÖSTERGÖTLANDS LÄN</t>
        </is>
      </c>
      <c r="E2157" t="inlineStr">
        <is>
          <t>LINKÖPING</t>
        </is>
      </c>
      <c r="G2157" t="n">
        <v>0.5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s="2" t="inlineStr"/>
    </row>
    <row r="2158" ht="15" customHeight="1">
      <c r="A2158" t="inlineStr">
        <is>
          <t>A 22884-2020</t>
        </is>
      </c>
      <c r="B2158" s="1" t="n">
        <v>43964</v>
      </c>
      <c r="C2158" s="1" t="n">
        <v>45211</v>
      </c>
      <c r="D2158" t="inlineStr">
        <is>
          <t>ÖSTERGÖTLANDS LÄN</t>
        </is>
      </c>
      <c r="E2158" t="inlineStr">
        <is>
          <t>YDRE</t>
        </is>
      </c>
      <c r="F2158" t="inlineStr">
        <is>
          <t>Sveaskog</t>
        </is>
      </c>
      <c r="G2158" t="n">
        <v>0.9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s="2" t="inlineStr"/>
    </row>
    <row r="2159" ht="15" customHeight="1">
      <c r="A2159" t="inlineStr">
        <is>
          <t>A 22886-2020</t>
        </is>
      </c>
      <c r="B2159" s="1" t="n">
        <v>43964</v>
      </c>
      <c r="C2159" s="1" t="n">
        <v>45211</v>
      </c>
      <c r="D2159" t="inlineStr">
        <is>
          <t>ÖSTERGÖTLANDS LÄN</t>
        </is>
      </c>
      <c r="E2159" t="inlineStr">
        <is>
          <t>YDRE</t>
        </is>
      </c>
      <c r="F2159" t="inlineStr">
        <is>
          <t>Sveaskog</t>
        </is>
      </c>
      <c r="G2159" t="n">
        <v>0.7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s="2" t="inlineStr"/>
    </row>
    <row r="2160" ht="15" customHeight="1">
      <c r="A2160" t="inlineStr">
        <is>
          <t>A 22924-2020</t>
        </is>
      </c>
      <c r="B2160" s="1" t="n">
        <v>43965</v>
      </c>
      <c r="C2160" s="1" t="n">
        <v>45211</v>
      </c>
      <c r="D2160" t="inlineStr">
        <is>
          <t>ÖSTERGÖTLANDS LÄN</t>
        </is>
      </c>
      <c r="E2160" t="inlineStr">
        <is>
          <t>SÖDERKÖPING</t>
        </is>
      </c>
      <c r="G2160" t="n">
        <v>2.5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s="2" t="inlineStr"/>
    </row>
    <row r="2161" ht="15" customHeight="1">
      <c r="A2161" t="inlineStr">
        <is>
          <t>A 22939-2020</t>
        </is>
      </c>
      <c r="B2161" s="1" t="n">
        <v>43965</v>
      </c>
      <c r="C2161" s="1" t="n">
        <v>45211</v>
      </c>
      <c r="D2161" t="inlineStr">
        <is>
          <t>ÖSTERGÖTLANDS LÄN</t>
        </is>
      </c>
      <c r="E2161" t="inlineStr">
        <is>
          <t>LINKÖPING</t>
        </is>
      </c>
      <c r="G2161" t="n">
        <v>3.4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s="2" t="inlineStr"/>
    </row>
    <row r="2162" ht="15" customHeight="1">
      <c r="A2162" t="inlineStr">
        <is>
          <t>A 22930-2020</t>
        </is>
      </c>
      <c r="B2162" s="1" t="n">
        <v>43965</v>
      </c>
      <c r="C2162" s="1" t="n">
        <v>45211</v>
      </c>
      <c r="D2162" t="inlineStr">
        <is>
          <t>ÖSTERGÖTLANDS LÄN</t>
        </is>
      </c>
      <c r="E2162" t="inlineStr">
        <is>
          <t>BOXHOLM</t>
        </is>
      </c>
      <c r="F2162" t="inlineStr">
        <is>
          <t>Övriga Aktiebolag</t>
        </is>
      </c>
      <c r="G2162" t="n">
        <v>2.2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s="2" t="inlineStr"/>
    </row>
    <row r="2163" ht="15" customHeight="1">
      <c r="A2163" t="inlineStr">
        <is>
          <t>A 23177-2020</t>
        </is>
      </c>
      <c r="B2163" s="1" t="n">
        <v>43966</v>
      </c>
      <c r="C2163" s="1" t="n">
        <v>45211</v>
      </c>
      <c r="D2163" t="inlineStr">
        <is>
          <t>ÖSTERGÖTLANDS LÄN</t>
        </is>
      </c>
      <c r="E2163" t="inlineStr">
        <is>
          <t>LINKÖPING</t>
        </is>
      </c>
      <c r="G2163" t="n">
        <v>14.3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s="2" t="inlineStr"/>
    </row>
    <row r="2164" ht="15" customHeight="1">
      <c r="A2164" t="inlineStr">
        <is>
          <t>A 23378-2020</t>
        </is>
      </c>
      <c r="B2164" s="1" t="n">
        <v>43967</v>
      </c>
      <c r="C2164" s="1" t="n">
        <v>45211</v>
      </c>
      <c r="D2164" t="inlineStr">
        <is>
          <t>ÖSTERGÖTLANDS LÄN</t>
        </is>
      </c>
      <c r="E2164" t="inlineStr">
        <is>
          <t>FINSPÅNG</t>
        </is>
      </c>
      <c r="G2164" t="n">
        <v>0.5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s="2" t="inlineStr"/>
    </row>
    <row r="2165" ht="15" customHeight="1">
      <c r="A2165" t="inlineStr">
        <is>
          <t>A 23384-2020</t>
        </is>
      </c>
      <c r="B2165" s="1" t="n">
        <v>43967</v>
      </c>
      <c r="C2165" s="1" t="n">
        <v>45211</v>
      </c>
      <c r="D2165" t="inlineStr">
        <is>
          <t>ÖSTERGÖTLANDS LÄN</t>
        </is>
      </c>
      <c r="E2165" t="inlineStr">
        <is>
          <t>FINSPÅNG</t>
        </is>
      </c>
      <c r="G2165" t="n">
        <v>1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s="2" t="inlineStr"/>
    </row>
    <row r="2166" ht="15" customHeight="1">
      <c r="A2166" t="inlineStr">
        <is>
          <t>A 23437-2020</t>
        </is>
      </c>
      <c r="B2166" s="1" t="n">
        <v>43969</v>
      </c>
      <c r="C2166" s="1" t="n">
        <v>45211</v>
      </c>
      <c r="D2166" t="inlineStr">
        <is>
          <t>ÖSTERGÖTLANDS LÄN</t>
        </is>
      </c>
      <c r="E2166" t="inlineStr">
        <is>
          <t>ÅTVIDABERG</t>
        </is>
      </c>
      <c r="G2166" t="n">
        <v>0.9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s="2" t="inlineStr"/>
    </row>
    <row r="2167" ht="15" customHeight="1">
      <c r="A2167" t="inlineStr">
        <is>
          <t>A 23818-2020</t>
        </is>
      </c>
      <c r="B2167" s="1" t="n">
        <v>43970</v>
      </c>
      <c r="C2167" s="1" t="n">
        <v>45211</v>
      </c>
      <c r="D2167" t="inlineStr">
        <is>
          <t>ÖSTERGÖTLANDS LÄN</t>
        </is>
      </c>
      <c r="E2167" t="inlineStr">
        <is>
          <t>YDRE</t>
        </is>
      </c>
      <c r="F2167" t="inlineStr">
        <is>
          <t>Sveaskog</t>
        </is>
      </c>
      <c r="G2167" t="n">
        <v>1.1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s="2" t="inlineStr"/>
    </row>
    <row r="2168" ht="15" customHeight="1">
      <c r="A2168" t="inlineStr">
        <is>
          <t>A 23823-2020</t>
        </is>
      </c>
      <c r="B2168" s="1" t="n">
        <v>43970</v>
      </c>
      <c r="C2168" s="1" t="n">
        <v>45211</v>
      </c>
      <c r="D2168" t="inlineStr">
        <is>
          <t>ÖSTERGÖTLANDS LÄN</t>
        </is>
      </c>
      <c r="E2168" t="inlineStr">
        <is>
          <t>YDRE</t>
        </is>
      </c>
      <c r="F2168" t="inlineStr">
        <is>
          <t>Sveaskog</t>
        </is>
      </c>
      <c r="G2168" t="n">
        <v>2.3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s="2" t="inlineStr"/>
    </row>
    <row r="2169" ht="15" customHeight="1">
      <c r="A2169" t="inlineStr">
        <is>
          <t>A 23822-2020</t>
        </is>
      </c>
      <c r="B2169" s="1" t="n">
        <v>43970</v>
      </c>
      <c r="C2169" s="1" t="n">
        <v>45211</v>
      </c>
      <c r="D2169" t="inlineStr">
        <is>
          <t>ÖSTERGÖTLANDS LÄN</t>
        </is>
      </c>
      <c r="E2169" t="inlineStr">
        <is>
          <t>YDRE</t>
        </is>
      </c>
      <c r="F2169" t="inlineStr">
        <is>
          <t>Sveaskog</t>
        </is>
      </c>
      <c r="G2169" t="n">
        <v>3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s="2" t="inlineStr"/>
    </row>
    <row r="2170" ht="15" customHeight="1">
      <c r="A2170" t="inlineStr">
        <is>
          <t>A 23820-2020</t>
        </is>
      </c>
      <c r="B2170" s="1" t="n">
        <v>43970</v>
      </c>
      <c r="C2170" s="1" t="n">
        <v>45211</v>
      </c>
      <c r="D2170" t="inlineStr">
        <is>
          <t>ÖSTERGÖTLANDS LÄN</t>
        </is>
      </c>
      <c r="E2170" t="inlineStr">
        <is>
          <t>YDRE</t>
        </is>
      </c>
      <c r="F2170" t="inlineStr">
        <is>
          <t>Sveaskog</t>
        </is>
      </c>
      <c r="G2170" t="n">
        <v>2.8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s="2" t="inlineStr"/>
    </row>
    <row r="2171" ht="15" customHeight="1">
      <c r="A2171" t="inlineStr">
        <is>
          <t>A 23819-2020</t>
        </is>
      </c>
      <c r="B2171" s="1" t="n">
        <v>43970</v>
      </c>
      <c r="C2171" s="1" t="n">
        <v>45211</v>
      </c>
      <c r="D2171" t="inlineStr">
        <is>
          <t>ÖSTERGÖTLANDS LÄN</t>
        </is>
      </c>
      <c r="E2171" t="inlineStr">
        <is>
          <t>YDRE</t>
        </is>
      </c>
      <c r="F2171" t="inlineStr">
        <is>
          <t>Sveaskog</t>
        </is>
      </c>
      <c r="G2171" t="n">
        <v>3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s="2" t="inlineStr"/>
    </row>
    <row r="2172" ht="15" customHeight="1">
      <c r="A2172" t="inlineStr">
        <is>
          <t>A 23925-2020</t>
        </is>
      </c>
      <c r="B2172" s="1" t="n">
        <v>43971</v>
      </c>
      <c r="C2172" s="1" t="n">
        <v>45211</v>
      </c>
      <c r="D2172" t="inlineStr">
        <is>
          <t>ÖSTERGÖTLANDS LÄN</t>
        </is>
      </c>
      <c r="E2172" t="inlineStr">
        <is>
          <t>FINSPÅNG</t>
        </is>
      </c>
      <c r="F2172" t="inlineStr">
        <is>
          <t>Holmen skog AB</t>
        </is>
      </c>
      <c r="G2172" t="n">
        <v>1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s="2" t="inlineStr"/>
    </row>
    <row r="2173" ht="15" customHeight="1">
      <c r="A2173" t="inlineStr">
        <is>
          <t>A 23910-2020</t>
        </is>
      </c>
      <c r="B2173" s="1" t="n">
        <v>43971</v>
      </c>
      <c r="C2173" s="1" t="n">
        <v>45211</v>
      </c>
      <c r="D2173" t="inlineStr">
        <is>
          <t>ÖSTERGÖTLANDS LÄN</t>
        </is>
      </c>
      <c r="E2173" t="inlineStr">
        <is>
          <t>MJÖLBY</t>
        </is>
      </c>
      <c r="G2173" t="n">
        <v>1.3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s="2" t="inlineStr"/>
    </row>
    <row r="2174" ht="15" customHeight="1">
      <c r="A2174" t="inlineStr">
        <is>
          <t>A 23896-2020</t>
        </is>
      </c>
      <c r="B2174" s="1" t="n">
        <v>43971</v>
      </c>
      <c r="C2174" s="1" t="n">
        <v>45211</v>
      </c>
      <c r="D2174" t="inlineStr">
        <is>
          <t>ÖSTERGÖTLANDS LÄN</t>
        </is>
      </c>
      <c r="E2174" t="inlineStr">
        <is>
          <t>MOTALA</t>
        </is>
      </c>
      <c r="F2174" t="inlineStr">
        <is>
          <t>Allmännings- och besparingsskogar</t>
        </is>
      </c>
      <c r="G2174" t="n">
        <v>0.8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s="2" t="inlineStr"/>
    </row>
    <row r="2175" ht="15" customHeight="1">
      <c r="A2175" t="inlineStr">
        <is>
          <t>A 23943-2020</t>
        </is>
      </c>
      <c r="B2175" s="1" t="n">
        <v>43971</v>
      </c>
      <c r="C2175" s="1" t="n">
        <v>45211</v>
      </c>
      <c r="D2175" t="inlineStr">
        <is>
          <t>ÖSTERGÖTLANDS LÄN</t>
        </is>
      </c>
      <c r="E2175" t="inlineStr">
        <is>
          <t>LINKÖPING</t>
        </is>
      </c>
      <c r="G2175" t="n">
        <v>1.2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s="2" t="inlineStr"/>
    </row>
    <row r="2176" ht="15" customHeight="1">
      <c r="A2176" t="inlineStr">
        <is>
          <t>A 23922-2020</t>
        </is>
      </c>
      <c r="B2176" s="1" t="n">
        <v>43971</v>
      </c>
      <c r="C2176" s="1" t="n">
        <v>45211</v>
      </c>
      <c r="D2176" t="inlineStr">
        <is>
          <t>ÖSTERGÖTLANDS LÄN</t>
        </is>
      </c>
      <c r="E2176" t="inlineStr">
        <is>
          <t>SÖDERKÖPING</t>
        </is>
      </c>
      <c r="G2176" t="n">
        <v>5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s="2" t="inlineStr"/>
    </row>
    <row r="2177" ht="15" customHeight="1">
      <c r="A2177" t="inlineStr">
        <is>
          <t>A 24268-2020</t>
        </is>
      </c>
      <c r="B2177" s="1" t="n">
        <v>43971</v>
      </c>
      <c r="C2177" s="1" t="n">
        <v>45211</v>
      </c>
      <c r="D2177" t="inlineStr">
        <is>
          <t>ÖSTERGÖTLANDS LÄN</t>
        </is>
      </c>
      <c r="E2177" t="inlineStr">
        <is>
          <t>ÖDESHÖG</t>
        </is>
      </c>
      <c r="G2177" t="n">
        <v>0.8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s="2" t="inlineStr"/>
    </row>
    <row r="2178" ht="15" customHeight="1">
      <c r="A2178" t="inlineStr">
        <is>
          <t>A 24122-2020</t>
        </is>
      </c>
      <c r="B2178" s="1" t="n">
        <v>43973</v>
      </c>
      <c r="C2178" s="1" t="n">
        <v>45211</v>
      </c>
      <c r="D2178" t="inlineStr">
        <is>
          <t>ÖSTERGÖTLANDS LÄN</t>
        </is>
      </c>
      <c r="E2178" t="inlineStr">
        <is>
          <t>VALDEMARSVIK</t>
        </is>
      </c>
      <c r="G2178" t="n">
        <v>1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s="2" t="inlineStr"/>
    </row>
    <row r="2179" ht="15" customHeight="1">
      <c r="A2179" t="inlineStr">
        <is>
          <t>A 24119-2020</t>
        </is>
      </c>
      <c r="B2179" s="1" t="n">
        <v>43973</v>
      </c>
      <c r="C2179" s="1" t="n">
        <v>45211</v>
      </c>
      <c r="D2179" t="inlineStr">
        <is>
          <t>ÖSTERGÖTLANDS LÄN</t>
        </is>
      </c>
      <c r="E2179" t="inlineStr">
        <is>
          <t>VALDEMARSVIK</t>
        </is>
      </c>
      <c r="G2179" t="n">
        <v>1.8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s="2" t="inlineStr"/>
    </row>
    <row r="2180" ht="15" customHeight="1">
      <c r="A2180" t="inlineStr">
        <is>
          <t>A 24313-2020</t>
        </is>
      </c>
      <c r="B2180" s="1" t="n">
        <v>43976</v>
      </c>
      <c r="C2180" s="1" t="n">
        <v>45211</v>
      </c>
      <c r="D2180" t="inlineStr">
        <is>
          <t>ÖSTERGÖTLANDS LÄN</t>
        </is>
      </c>
      <c r="E2180" t="inlineStr">
        <is>
          <t>BOXHOLM</t>
        </is>
      </c>
      <c r="F2180" t="inlineStr">
        <is>
          <t>Övriga Aktiebolag</t>
        </is>
      </c>
      <c r="G2180" t="n">
        <v>1.2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s="2" t="inlineStr"/>
    </row>
    <row r="2181" ht="15" customHeight="1">
      <c r="A2181" t="inlineStr">
        <is>
          <t>A 24200-2020</t>
        </is>
      </c>
      <c r="B2181" s="1" t="n">
        <v>43976</v>
      </c>
      <c r="C2181" s="1" t="n">
        <v>45211</v>
      </c>
      <c r="D2181" t="inlineStr">
        <is>
          <t>ÖSTERGÖTLANDS LÄN</t>
        </is>
      </c>
      <c r="E2181" t="inlineStr">
        <is>
          <t>KINDA</t>
        </is>
      </c>
      <c r="F2181" t="inlineStr">
        <is>
          <t>Sveaskog</t>
        </is>
      </c>
      <c r="G2181" t="n">
        <v>1.7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s="2" t="inlineStr"/>
    </row>
    <row r="2182" ht="15" customHeight="1">
      <c r="A2182" t="inlineStr">
        <is>
          <t>A 24468-2020</t>
        </is>
      </c>
      <c r="B2182" s="1" t="n">
        <v>43976</v>
      </c>
      <c r="C2182" s="1" t="n">
        <v>45211</v>
      </c>
      <c r="D2182" t="inlineStr">
        <is>
          <t>ÖSTERGÖTLANDS LÄN</t>
        </is>
      </c>
      <c r="E2182" t="inlineStr">
        <is>
          <t>NORRKÖPING</t>
        </is>
      </c>
      <c r="G2182" t="n">
        <v>2.3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s="2" t="inlineStr"/>
    </row>
    <row r="2183" ht="15" customHeight="1">
      <c r="A2183" t="inlineStr">
        <is>
          <t>A 24635-2020</t>
        </is>
      </c>
      <c r="B2183" s="1" t="n">
        <v>43977</v>
      </c>
      <c r="C2183" s="1" t="n">
        <v>45211</v>
      </c>
      <c r="D2183" t="inlineStr">
        <is>
          <t>ÖSTERGÖTLANDS LÄN</t>
        </is>
      </c>
      <c r="E2183" t="inlineStr">
        <is>
          <t>KINDA</t>
        </is>
      </c>
      <c r="G2183" t="n">
        <v>4.9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s="2" t="inlineStr"/>
    </row>
    <row r="2184" ht="15" customHeight="1">
      <c r="A2184" t="inlineStr">
        <is>
          <t>A 24527-2020</t>
        </is>
      </c>
      <c r="B2184" s="1" t="n">
        <v>43977</v>
      </c>
      <c r="C2184" s="1" t="n">
        <v>45211</v>
      </c>
      <c r="D2184" t="inlineStr">
        <is>
          <t>ÖSTERGÖTLANDS LÄN</t>
        </is>
      </c>
      <c r="E2184" t="inlineStr">
        <is>
          <t>KINDA</t>
        </is>
      </c>
      <c r="G2184" t="n">
        <v>0.8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s="2" t="inlineStr"/>
    </row>
    <row r="2185" ht="15" customHeight="1">
      <c r="A2185" t="inlineStr">
        <is>
          <t>A 24630-2020</t>
        </is>
      </c>
      <c r="B2185" s="1" t="n">
        <v>43977</v>
      </c>
      <c r="C2185" s="1" t="n">
        <v>45211</v>
      </c>
      <c r="D2185" t="inlineStr">
        <is>
          <t>ÖSTERGÖTLANDS LÄN</t>
        </is>
      </c>
      <c r="E2185" t="inlineStr">
        <is>
          <t>FINSPÅNG</t>
        </is>
      </c>
      <c r="G2185" t="n">
        <v>1.6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s="2" t="inlineStr"/>
    </row>
    <row r="2186" ht="15" customHeight="1">
      <c r="A2186" t="inlineStr">
        <is>
          <t>A 24455-2020</t>
        </is>
      </c>
      <c r="B2186" s="1" t="n">
        <v>43977</v>
      </c>
      <c r="C2186" s="1" t="n">
        <v>45211</v>
      </c>
      <c r="D2186" t="inlineStr">
        <is>
          <t>ÖSTERGÖTLANDS LÄN</t>
        </is>
      </c>
      <c r="E2186" t="inlineStr">
        <is>
          <t>BOXHOLM</t>
        </is>
      </c>
      <c r="G2186" t="n">
        <v>0.4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s="2" t="inlineStr"/>
    </row>
    <row r="2187" ht="15" customHeight="1">
      <c r="A2187" t="inlineStr">
        <is>
          <t>A 24564-2020</t>
        </is>
      </c>
      <c r="B2187" s="1" t="n">
        <v>43977</v>
      </c>
      <c r="C2187" s="1" t="n">
        <v>45211</v>
      </c>
      <c r="D2187" t="inlineStr">
        <is>
          <t>ÖSTERGÖTLANDS LÄN</t>
        </is>
      </c>
      <c r="E2187" t="inlineStr">
        <is>
          <t>MJÖLBY</t>
        </is>
      </c>
      <c r="G2187" t="n">
        <v>1.6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s="2" t="inlineStr"/>
    </row>
    <row r="2188" ht="15" customHeight="1">
      <c r="A2188" t="inlineStr">
        <is>
          <t>A 24773-2020</t>
        </is>
      </c>
      <c r="B2188" s="1" t="n">
        <v>43978</v>
      </c>
      <c r="C2188" s="1" t="n">
        <v>45211</v>
      </c>
      <c r="D2188" t="inlineStr">
        <is>
          <t>ÖSTERGÖTLANDS LÄN</t>
        </is>
      </c>
      <c r="E2188" t="inlineStr">
        <is>
          <t>MOTALA</t>
        </is>
      </c>
      <c r="F2188" t="inlineStr">
        <is>
          <t>Sveaskog</t>
        </is>
      </c>
      <c r="G2188" t="n">
        <v>2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s="2" t="inlineStr"/>
    </row>
    <row r="2189" ht="15" customHeight="1">
      <c r="A2189" t="inlineStr">
        <is>
          <t>A 24905-2020</t>
        </is>
      </c>
      <c r="B2189" s="1" t="n">
        <v>43979</v>
      </c>
      <c r="C2189" s="1" t="n">
        <v>45211</v>
      </c>
      <c r="D2189" t="inlineStr">
        <is>
          <t>ÖSTERGÖTLANDS LÄN</t>
        </is>
      </c>
      <c r="E2189" t="inlineStr">
        <is>
          <t>NORRKÖPING</t>
        </is>
      </c>
      <c r="F2189" t="inlineStr">
        <is>
          <t>Holmen skog AB</t>
        </is>
      </c>
      <c r="G2189" t="n">
        <v>3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s="2" t="inlineStr"/>
    </row>
    <row r="2190" ht="15" customHeight="1">
      <c r="A2190" t="inlineStr">
        <is>
          <t>A 25056-2020</t>
        </is>
      </c>
      <c r="B2190" s="1" t="n">
        <v>43979</v>
      </c>
      <c r="C2190" s="1" t="n">
        <v>45211</v>
      </c>
      <c r="D2190" t="inlineStr">
        <is>
          <t>ÖSTERGÖTLANDS LÄN</t>
        </is>
      </c>
      <c r="E2190" t="inlineStr">
        <is>
          <t>MOTALA</t>
        </is>
      </c>
      <c r="G2190" t="n">
        <v>0.9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s="2" t="inlineStr"/>
    </row>
    <row r="2191" ht="15" customHeight="1">
      <c r="A2191" t="inlineStr">
        <is>
          <t>A 25123-2020</t>
        </is>
      </c>
      <c r="B2191" s="1" t="n">
        <v>43979</v>
      </c>
      <c r="C2191" s="1" t="n">
        <v>45211</v>
      </c>
      <c r="D2191" t="inlineStr">
        <is>
          <t>ÖSTERGÖTLANDS LÄN</t>
        </is>
      </c>
      <c r="E2191" t="inlineStr">
        <is>
          <t>FINSPÅNG</t>
        </is>
      </c>
      <c r="G2191" t="n">
        <v>0.5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s="2" t="inlineStr"/>
    </row>
    <row r="2192" ht="15" customHeight="1">
      <c r="A2192" t="inlineStr">
        <is>
          <t>A 25160-2020</t>
        </is>
      </c>
      <c r="B2192" s="1" t="n">
        <v>43980</v>
      </c>
      <c r="C2192" s="1" t="n">
        <v>45211</v>
      </c>
      <c r="D2192" t="inlineStr">
        <is>
          <t>ÖSTERGÖTLANDS LÄN</t>
        </is>
      </c>
      <c r="E2192" t="inlineStr">
        <is>
          <t>KINDA</t>
        </is>
      </c>
      <c r="G2192" t="n">
        <v>0.6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s="2" t="inlineStr"/>
    </row>
    <row r="2193" ht="15" customHeight="1">
      <c r="A2193" t="inlineStr">
        <is>
          <t>A 25150-2020</t>
        </is>
      </c>
      <c r="B2193" s="1" t="n">
        <v>43980</v>
      </c>
      <c r="C2193" s="1" t="n">
        <v>45211</v>
      </c>
      <c r="D2193" t="inlineStr">
        <is>
          <t>ÖSTERGÖTLANDS LÄN</t>
        </is>
      </c>
      <c r="E2193" t="inlineStr">
        <is>
          <t>KINDA</t>
        </is>
      </c>
      <c r="G2193" t="n">
        <v>0.5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s="2" t="inlineStr"/>
    </row>
    <row r="2194" ht="15" customHeight="1">
      <c r="A2194" t="inlineStr">
        <is>
          <t>A 25176-2020</t>
        </is>
      </c>
      <c r="B2194" s="1" t="n">
        <v>43980</v>
      </c>
      <c r="C2194" s="1" t="n">
        <v>45211</v>
      </c>
      <c r="D2194" t="inlineStr">
        <is>
          <t>ÖSTERGÖTLANDS LÄN</t>
        </is>
      </c>
      <c r="E2194" t="inlineStr">
        <is>
          <t>YDRE</t>
        </is>
      </c>
      <c r="F2194" t="inlineStr">
        <is>
          <t>Kyrkan</t>
        </is>
      </c>
      <c r="G2194" t="n">
        <v>2.8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s="2" t="inlineStr"/>
    </row>
    <row r="2195" ht="15" customHeight="1">
      <c r="A2195" t="inlineStr">
        <is>
          <t>A 25157-2020</t>
        </is>
      </c>
      <c r="B2195" s="1" t="n">
        <v>43980</v>
      </c>
      <c r="C2195" s="1" t="n">
        <v>45211</v>
      </c>
      <c r="D2195" t="inlineStr">
        <is>
          <t>ÖSTERGÖTLANDS LÄN</t>
        </is>
      </c>
      <c r="E2195" t="inlineStr">
        <is>
          <t>KINDA</t>
        </is>
      </c>
      <c r="G2195" t="n">
        <v>3.3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s="2" t="inlineStr"/>
    </row>
    <row r="2196" ht="15" customHeight="1">
      <c r="A2196" t="inlineStr">
        <is>
          <t>A 25476-2020</t>
        </is>
      </c>
      <c r="B2196" s="1" t="n">
        <v>43983</v>
      </c>
      <c r="C2196" s="1" t="n">
        <v>45211</v>
      </c>
      <c r="D2196" t="inlineStr">
        <is>
          <t>ÖSTERGÖTLANDS LÄN</t>
        </is>
      </c>
      <c r="E2196" t="inlineStr">
        <is>
          <t>BOXHOLM</t>
        </is>
      </c>
      <c r="F2196" t="inlineStr">
        <is>
          <t>Övriga Aktiebolag</t>
        </is>
      </c>
      <c r="G2196" t="n">
        <v>3.2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s="2" t="inlineStr"/>
    </row>
    <row r="2197" ht="15" customHeight="1">
      <c r="A2197" t="inlineStr">
        <is>
          <t>A 25643-2020</t>
        </is>
      </c>
      <c r="B2197" s="1" t="n">
        <v>43983</v>
      </c>
      <c r="C2197" s="1" t="n">
        <v>45211</v>
      </c>
      <c r="D2197" t="inlineStr">
        <is>
          <t>ÖSTERGÖTLANDS LÄN</t>
        </is>
      </c>
      <c r="E2197" t="inlineStr">
        <is>
          <t>ÅTVIDABERG</t>
        </is>
      </c>
      <c r="G2197" t="n">
        <v>0.8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s="2" t="inlineStr"/>
    </row>
    <row r="2198" ht="15" customHeight="1">
      <c r="A2198" t="inlineStr">
        <is>
          <t>A 25488-2020</t>
        </is>
      </c>
      <c r="B2198" s="1" t="n">
        <v>43983</v>
      </c>
      <c r="C2198" s="1" t="n">
        <v>45211</v>
      </c>
      <c r="D2198" t="inlineStr">
        <is>
          <t>ÖSTERGÖTLANDS LÄN</t>
        </is>
      </c>
      <c r="E2198" t="inlineStr">
        <is>
          <t>VALDEMARSVIK</t>
        </is>
      </c>
      <c r="G2198" t="n">
        <v>0.9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s="2" t="inlineStr"/>
    </row>
    <row r="2199" ht="15" customHeight="1">
      <c r="A2199" t="inlineStr">
        <is>
          <t>A 25521-2020</t>
        </is>
      </c>
      <c r="B2199" s="1" t="n">
        <v>43983</v>
      </c>
      <c r="C2199" s="1" t="n">
        <v>45211</v>
      </c>
      <c r="D2199" t="inlineStr">
        <is>
          <t>ÖSTERGÖTLANDS LÄN</t>
        </is>
      </c>
      <c r="E2199" t="inlineStr">
        <is>
          <t>NORRKÖPING</t>
        </is>
      </c>
      <c r="F2199" t="inlineStr">
        <is>
          <t>Allmännings- och besparingsskogar</t>
        </is>
      </c>
      <c r="G2199" t="n">
        <v>3.5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s="2" t="inlineStr"/>
    </row>
    <row r="2200" ht="15" customHeight="1">
      <c r="A2200" t="inlineStr">
        <is>
          <t>A 25496-2020</t>
        </is>
      </c>
      <c r="B2200" s="1" t="n">
        <v>43983</v>
      </c>
      <c r="C2200" s="1" t="n">
        <v>45211</v>
      </c>
      <c r="D2200" t="inlineStr">
        <is>
          <t>ÖSTERGÖTLANDS LÄN</t>
        </is>
      </c>
      <c r="E2200" t="inlineStr">
        <is>
          <t>ÅTVIDABERG</t>
        </is>
      </c>
      <c r="F2200" t="inlineStr">
        <is>
          <t>Övriga Aktiebolag</t>
        </is>
      </c>
      <c r="G2200" t="n">
        <v>4.1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s="2" t="inlineStr"/>
    </row>
    <row r="2201" ht="15" customHeight="1">
      <c r="A2201" t="inlineStr">
        <is>
          <t>A 25550-2020</t>
        </is>
      </c>
      <c r="B2201" s="1" t="n">
        <v>43983</v>
      </c>
      <c r="C2201" s="1" t="n">
        <v>45211</v>
      </c>
      <c r="D2201" t="inlineStr">
        <is>
          <t>ÖSTERGÖTLANDS LÄN</t>
        </is>
      </c>
      <c r="E2201" t="inlineStr">
        <is>
          <t>VALDEMARSVIK</t>
        </is>
      </c>
      <c r="G2201" t="n">
        <v>1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s="2" t="inlineStr"/>
    </row>
    <row r="2202" ht="15" customHeight="1">
      <c r="A2202" t="inlineStr">
        <is>
          <t>A 25866-2020</t>
        </is>
      </c>
      <c r="B2202" s="1" t="n">
        <v>43984</v>
      </c>
      <c r="C2202" s="1" t="n">
        <v>45211</v>
      </c>
      <c r="D2202" t="inlineStr">
        <is>
          <t>ÖSTERGÖTLANDS LÄN</t>
        </is>
      </c>
      <c r="E2202" t="inlineStr">
        <is>
          <t>ÖDESHÖG</t>
        </is>
      </c>
      <c r="G2202" t="n">
        <v>0.8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s="2" t="inlineStr"/>
    </row>
    <row r="2203" ht="15" customHeight="1">
      <c r="A2203" t="inlineStr">
        <is>
          <t>A 25885-2020</t>
        </is>
      </c>
      <c r="B2203" s="1" t="n">
        <v>43984</v>
      </c>
      <c r="C2203" s="1" t="n">
        <v>45211</v>
      </c>
      <c r="D2203" t="inlineStr">
        <is>
          <t>ÖSTERGÖTLANDS LÄN</t>
        </is>
      </c>
      <c r="E2203" t="inlineStr">
        <is>
          <t>VALDEMARSVIK</t>
        </is>
      </c>
      <c r="G2203" t="n">
        <v>2.6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s="2" t="inlineStr"/>
    </row>
    <row r="2204" ht="15" customHeight="1">
      <c r="A2204" t="inlineStr">
        <is>
          <t>A 25724-2020</t>
        </is>
      </c>
      <c r="B2204" s="1" t="n">
        <v>43984</v>
      </c>
      <c r="C2204" s="1" t="n">
        <v>45211</v>
      </c>
      <c r="D2204" t="inlineStr">
        <is>
          <t>ÖSTERGÖTLANDS LÄN</t>
        </is>
      </c>
      <c r="E2204" t="inlineStr">
        <is>
          <t>MOTALA</t>
        </is>
      </c>
      <c r="F2204" t="inlineStr">
        <is>
          <t>Kyrkan</t>
        </is>
      </c>
      <c r="G2204" t="n">
        <v>6.2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s="2" t="inlineStr"/>
    </row>
    <row r="2205" ht="15" customHeight="1">
      <c r="A2205" t="inlineStr">
        <is>
          <t>A 26083-2020</t>
        </is>
      </c>
      <c r="B2205" s="1" t="n">
        <v>43985</v>
      </c>
      <c r="C2205" s="1" t="n">
        <v>45211</v>
      </c>
      <c r="D2205" t="inlineStr">
        <is>
          <t>ÖSTERGÖTLANDS LÄN</t>
        </is>
      </c>
      <c r="E2205" t="inlineStr">
        <is>
          <t>MJÖLBY</t>
        </is>
      </c>
      <c r="G2205" t="n">
        <v>1.3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s="2" t="inlineStr"/>
    </row>
    <row r="2206" ht="15" customHeight="1">
      <c r="A2206" t="inlineStr">
        <is>
          <t>A 25941-2020</t>
        </is>
      </c>
      <c r="B2206" s="1" t="n">
        <v>43985</v>
      </c>
      <c r="C2206" s="1" t="n">
        <v>45211</v>
      </c>
      <c r="D2206" t="inlineStr">
        <is>
          <t>ÖSTERGÖTLANDS LÄN</t>
        </is>
      </c>
      <c r="E2206" t="inlineStr">
        <is>
          <t>ÖDESHÖG</t>
        </is>
      </c>
      <c r="G2206" t="n">
        <v>0.7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s="2" t="inlineStr"/>
    </row>
    <row r="2207" ht="15" customHeight="1">
      <c r="A2207" t="inlineStr">
        <is>
          <t>A 26134-2020</t>
        </is>
      </c>
      <c r="B2207" s="1" t="n">
        <v>43985</v>
      </c>
      <c r="C2207" s="1" t="n">
        <v>45211</v>
      </c>
      <c r="D2207" t="inlineStr">
        <is>
          <t>ÖSTERGÖTLANDS LÄN</t>
        </is>
      </c>
      <c r="E2207" t="inlineStr">
        <is>
          <t>MJÖLBY</t>
        </is>
      </c>
      <c r="G2207" t="n">
        <v>0.6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s="2" t="inlineStr"/>
    </row>
    <row r="2208" ht="15" customHeight="1">
      <c r="A2208" t="inlineStr">
        <is>
          <t>A 26093-2020</t>
        </is>
      </c>
      <c r="B2208" s="1" t="n">
        <v>43985</v>
      </c>
      <c r="C2208" s="1" t="n">
        <v>45211</v>
      </c>
      <c r="D2208" t="inlineStr">
        <is>
          <t>ÖSTERGÖTLANDS LÄN</t>
        </is>
      </c>
      <c r="E2208" t="inlineStr">
        <is>
          <t>MJÖLBY</t>
        </is>
      </c>
      <c r="G2208" t="n">
        <v>1.3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s="2" t="inlineStr"/>
    </row>
    <row r="2209" ht="15" customHeight="1">
      <c r="A2209" t="inlineStr">
        <is>
          <t>A 26136-2020</t>
        </is>
      </c>
      <c r="B2209" s="1" t="n">
        <v>43985</v>
      </c>
      <c r="C2209" s="1" t="n">
        <v>45211</v>
      </c>
      <c r="D2209" t="inlineStr">
        <is>
          <t>ÖSTERGÖTLANDS LÄN</t>
        </is>
      </c>
      <c r="E2209" t="inlineStr">
        <is>
          <t>MJÖLBY</t>
        </is>
      </c>
      <c r="G2209" t="n">
        <v>0.5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s="2" t="inlineStr"/>
    </row>
    <row r="2210" ht="15" customHeight="1">
      <c r="A2210" t="inlineStr">
        <is>
          <t>A 26346-2020</t>
        </is>
      </c>
      <c r="B2210" s="1" t="n">
        <v>43986</v>
      </c>
      <c r="C2210" s="1" t="n">
        <v>45211</v>
      </c>
      <c r="D2210" t="inlineStr">
        <is>
          <t>ÖSTERGÖTLANDS LÄN</t>
        </is>
      </c>
      <c r="E2210" t="inlineStr">
        <is>
          <t>FINSPÅNG</t>
        </is>
      </c>
      <c r="F2210" t="inlineStr">
        <is>
          <t>Holmen skog AB</t>
        </is>
      </c>
      <c r="G2210" t="n">
        <v>0.7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s="2" t="inlineStr"/>
    </row>
    <row r="2211" ht="15" customHeight="1">
      <c r="A2211" t="inlineStr">
        <is>
          <t>A 26472-2020</t>
        </is>
      </c>
      <c r="B2211" s="1" t="n">
        <v>43987</v>
      </c>
      <c r="C2211" s="1" t="n">
        <v>45211</v>
      </c>
      <c r="D2211" t="inlineStr">
        <is>
          <t>ÖSTERGÖTLANDS LÄN</t>
        </is>
      </c>
      <c r="E2211" t="inlineStr">
        <is>
          <t>YDRE</t>
        </is>
      </c>
      <c r="G2211" t="n">
        <v>7.8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s="2" t="inlineStr"/>
    </row>
    <row r="2212" ht="15" customHeight="1">
      <c r="A2212" t="inlineStr">
        <is>
          <t>A 26587-2020</t>
        </is>
      </c>
      <c r="B2212" s="1" t="n">
        <v>43987</v>
      </c>
      <c r="C2212" s="1" t="n">
        <v>45211</v>
      </c>
      <c r="D2212" t="inlineStr">
        <is>
          <t>ÖSTERGÖTLANDS LÄN</t>
        </is>
      </c>
      <c r="E2212" t="inlineStr">
        <is>
          <t>YDRE</t>
        </is>
      </c>
      <c r="G2212" t="n">
        <v>0.8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s="2" t="inlineStr"/>
    </row>
    <row r="2213" ht="15" customHeight="1">
      <c r="A2213" t="inlineStr">
        <is>
          <t>A 26591-2020</t>
        </is>
      </c>
      <c r="B2213" s="1" t="n">
        <v>43987</v>
      </c>
      <c r="C2213" s="1" t="n">
        <v>45211</v>
      </c>
      <c r="D2213" t="inlineStr">
        <is>
          <t>ÖSTERGÖTLANDS LÄN</t>
        </is>
      </c>
      <c r="E2213" t="inlineStr">
        <is>
          <t>YDRE</t>
        </is>
      </c>
      <c r="G2213" t="n">
        <v>3.2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s="2" t="inlineStr"/>
    </row>
    <row r="2214" ht="15" customHeight="1">
      <c r="A2214" t="inlineStr">
        <is>
          <t>A 26907-2020</t>
        </is>
      </c>
      <c r="B2214" s="1" t="n">
        <v>43990</v>
      </c>
      <c r="C2214" s="1" t="n">
        <v>45211</v>
      </c>
      <c r="D2214" t="inlineStr">
        <is>
          <t>ÖSTERGÖTLANDS LÄN</t>
        </is>
      </c>
      <c r="E2214" t="inlineStr">
        <is>
          <t>LINKÖPING</t>
        </is>
      </c>
      <c r="G2214" t="n">
        <v>0.8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s="2" t="inlineStr"/>
    </row>
    <row r="2215" ht="15" customHeight="1">
      <c r="A2215" t="inlineStr">
        <is>
          <t>A 26911-2020</t>
        </is>
      </c>
      <c r="B2215" s="1" t="n">
        <v>43990</v>
      </c>
      <c r="C2215" s="1" t="n">
        <v>45211</v>
      </c>
      <c r="D2215" t="inlineStr">
        <is>
          <t>ÖSTERGÖTLANDS LÄN</t>
        </is>
      </c>
      <c r="E2215" t="inlineStr">
        <is>
          <t>LINKÖPING</t>
        </is>
      </c>
      <c r="G2215" t="n">
        <v>2.3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s="2" t="inlineStr"/>
    </row>
    <row r="2216" ht="15" customHeight="1">
      <c r="A2216" t="inlineStr">
        <is>
          <t>A 26724-2020</t>
        </is>
      </c>
      <c r="B2216" s="1" t="n">
        <v>43990</v>
      </c>
      <c r="C2216" s="1" t="n">
        <v>45211</v>
      </c>
      <c r="D2216" t="inlineStr">
        <is>
          <t>ÖSTERGÖTLANDS LÄN</t>
        </is>
      </c>
      <c r="E2216" t="inlineStr">
        <is>
          <t>KINDA</t>
        </is>
      </c>
      <c r="F2216" t="inlineStr">
        <is>
          <t>Sveaskog</t>
        </is>
      </c>
      <c r="G2216" t="n">
        <v>1.6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s="2" t="inlineStr"/>
    </row>
    <row r="2217" ht="15" customHeight="1">
      <c r="A2217" t="inlineStr">
        <is>
          <t>A 26811-2020</t>
        </is>
      </c>
      <c r="B2217" s="1" t="n">
        <v>43990</v>
      </c>
      <c r="C2217" s="1" t="n">
        <v>45211</v>
      </c>
      <c r="D2217" t="inlineStr">
        <is>
          <t>ÖSTERGÖTLANDS LÄN</t>
        </is>
      </c>
      <c r="E2217" t="inlineStr">
        <is>
          <t>YDRE</t>
        </is>
      </c>
      <c r="G2217" t="n">
        <v>1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s="2" t="inlineStr"/>
    </row>
    <row r="2218" ht="15" customHeight="1">
      <c r="A2218" t="inlineStr">
        <is>
          <t>A 27179-2020</t>
        </is>
      </c>
      <c r="B2218" s="1" t="n">
        <v>43991</v>
      </c>
      <c r="C2218" s="1" t="n">
        <v>45211</v>
      </c>
      <c r="D2218" t="inlineStr">
        <is>
          <t>ÖSTERGÖTLANDS LÄN</t>
        </is>
      </c>
      <c r="E2218" t="inlineStr">
        <is>
          <t>FINSPÅNG</t>
        </is>
      </c>
      <c r="G2218" t="n">
        <v>1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s="2" t="inlineStr"/>
    </row>
    <row r="2219" ht="15" customHeight="1">
      <c r="A2219" t="inlineStr">
        <is>
          <t>A 27088-2020</t>
        </is>
      </c>
      <c r="B2219" s="1" t="n">
        <v>43991</v>
      </c>
      <c r="C2219" s="1" t="n">
        <v>45211</v>
      </c>
      <c r="D2219" t="inlineStr">
        <is>
          <t>ÖSTERGÖTLANDS LÄN</t>
        </is>
      </c>
      <c r="E2219" t="inlineStr">
        <is>
          <t>NORRKÖPING</t>
        </is>
      </c>
      <c r="G2219" t="n">
        <v>1.6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s="2" t="inlineStr"/>
    </row>
    <row r="2220" ht="15" customHeight="1">
      <c r="A2220" t="inlineStr">
        <is>
          <t>A 27170-2020</t>
        </is>
      </c>
      <c r="B2220" s="1" t="n">
        <v>43991</v>
      </c>
      <c r="C2220" s="1" t="n">
        <v>45211</v>
      </c>
      <c r="D2220" t="inlineStr">
        <is>
          <t>ÖSTERGÖTLANDS LÄN</t>
        </is>
      </c>
      <c r="E2220" t="inlineStr">
        <is>
          <t>NORRKÖPING</t>
        </is>
      </c>
      <c r="F2220" t="inlineStr">
        <is>
          <t>Holmen skog AB</t>
        </is>
      </c>
      <c r="G2220" t="n">
        <v>1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s="2" t="inlineStr"/>
    </row>
    <row r="2221" ht="15" customHeight="1">
      <c r="A2221" t="inlineStr">
        <is>
          <t>A 27160-2020</t>
        </is>
      </c>
      <c r="B2221" s="1" t="n">
        <v>43991</v>
      </c>
      <c r="C2221" s="1" t="n">
        <v>45211</v>
      </c>
      <c r="D2221" t="inlineStr">
        <is>
          <t>ÖSTERGÖTLANDS LÄN</t>
        </is>
      </c>
      <c r="E2221" t="inlineStr">
        <is>
          <t>NORRKÖPING</t>
        </is>
      </c>
      <c r="F2221" t="inlineStr">
        <is>
          <t>Holmen skog AB</t>
        </is>
      </c>
      <c r="G2221" t="n">
        <v>0.8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s="2" t="inlineStr"/>
    </row>
    <row r="2222" ht="15" customHeight="1">
      <c r="A2222" t="inlineStr">
        <is>
          <t>A 27182-2020</t>
        </is>
      </c>
      <c r="B2222" s="1" t="n">
        <v>43991</v>
      </c>
      <c r="C2222" s="1" t="n">
        <v>45211</v>
      </c>
      <c r="D2222" t="inlineStr">
        <is>
          <t>ÖSTERGÖTLANDS LÄN</t>
        </is>
      </c>
      <c r="E2222" t="inlineStr">
        <is>
          <t>FINSPÅNG</t>
        </is>
      </c>
      <c r="G2222" t="n">
        <v>0.6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s="2" t="inlineStr"/>
    </row>
    <row r="2223" ht="15" customHeight="1">
      <c r="A2223" t="inlineStr">
        <is>
          <t>A 27425-2020</t>
        </is>
      </c>
      <c r="B2223" s="1" t="n">
        <v>43993</v>
      </c>
      <c r="C2223" s="1" t="n">
        <v>45211</v>
      </c>
      <c r="D2223" t="inlineStr">
        <is>
          <t>ÖSTERGÖTLANDS LÄN</t>
        </is>
      </c>
      <c r="E2223" t="inlineStr">
        <is>
          <t>MOTALA</t>
        </is>
      </c>
      <c r="G2223" t="n">
        <v>1.2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s="2" t="inlineStr"/>
    </row>
    <row r="2224" ht="15" customHeight="1">
      <c r="A2224" t="inlineStr">
        <is>
          <t>A 27456-2020</t>
        </is>
      </c>
      <c r="B2224" s="1" t="n">
        <v>43993</v>
      </c>
      <c r="C2224" s="1" t="n">
        <v>45211</v>
      </c>
      <c r="D2224" t="inlineStr">
        <is>
          <t>ÖSTERGÖTLANDS LÄN</t>
        </is>
      </c>
      <c r="E2224" t="inlineStr">
        <is>
          <t>FINSPÅNG</t>
        </is>
      </c>
      <c r="F2224" t="inlineStr">
        <is>
          <t>Holmen skog AB</t>
        </is>
      </c>
      <c r="G2224" t="n">
        <v>0.8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s="2" t="inlineStr"/>
    </row>
    <row r="2225" ht="15" customHeight="1">
      <c r="A2225" t="inlineStr">
        <is>
          <t>A 28027-2020</t>
        </is>
      </c>
      <c r="B2225" s="1" t="n">
        <v>43993</v>
      </c>
      <c r="C2225" s="1" t="n">
        <v>45211</v>
      </c>
      <c r="D2225" t="inlineStr">
        <is>
          <t>ÖSTERGÖTLANDS LÄN</t>
        </is>
      </c>
      <c r="E2225" t="inlineStr">
        <is>
          <t>MOTALA</t>
        </is>
      </c>
      <c r="G2225" t="n">
        <v>5.1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s="2" t="inlineStr"/>
    </row>
    <row r="2226" ht="15" customHeight="1">
      <c r="A2226" t="inlineStr">
        <is>
          <t>A 27446-2020</t>
        </is>
      </c>
      <c r="B2226" s="1" t="n">
        <v>43993</v>
      </c>
      <c r="C2226" s="1" t="n">
        <v>45211</v>
      </c>
      <c r="D2226" t="inlineStr">
        <is>
          <t>ÖSTERGÖTLANDS LÄN</t>
        </is>
      </c>
      <c r="E2226" t="inlineStr">
        <is>
          <t>NORRKÖPING</t>
        </is>
      </c>
      <c r="F2226" t="inlineStr">
        <is>
          <t>Holmen skog AB</t>
        </is>
      </c>
      <c r="G2226" t="n">
        <v>1.1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s="2" t="inlineStr"/>
    </row>
    <row r="2227" ht="15" customHeight="1">
      <c r="A2227" t="inlineStr">
        <is>
          <t>A 27533-2020</t>
        </is>
      </c>
      <c r="B2227" s="1" t="n">
        <v>43993</v>
      </c>
      <c r="C2227" s="1" t="n">
        <v>45211</v>
      </c>
      <c r="D2227" t="inlineStr">
        <is>
          <t>ÖSTERGÖTLANDS LÄN</t>
        </is>
      </c>
      <c r="E2227" t="inlineStr">
        <is>
          <t>MOTALA</t>
        </is>
      </c>
      <c r="F2227" t="inlineStr">
        <is>
          <t>Sveaskog</t>
        </is>
      </c>
      <c r="G2227" t="n">
        <v>2.2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s="2" t="inlineStr"/>
    </row>
    <row r="2228" ht="15" customHeight="1">
      <c r="A2228" t="inlineStr">
        <is>
          <t>A 27560-2020</t>
        </is>
      </c>
      <c r="B2228" s="1" t="n">
        <v>43993</v>
      </c>
      <c r="C2228" s="1" t="n">
        <v>45211</v>
      </c>
      <c r="D2228" t="inlineStr">
        <is>
          <t>ÖSTERGÖTLANDS LÄN</t>
        </is>
      </c>
      <c r="E2228" t="inlineStr">
        <is>
          <t>LINKÖPING</t>
        </is>
      </c>
      <c r="G2228" t="n">
        <v>3.1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s="2" t="inlineStr"/>
    </row>
    <row r="2229" ht="15" customHeight="1">
      <c r="A2229" t="inlineStr">
        <is>
          <t>A 27649-2020</t>
        </is>
      </c>
      <c r="B2229" s="1" t="n">
        <v>43993</v>
      </c>
      <c r="C2229" s="1" t="n">
        <v>45211</v>
      </c>
      <c r="D2229" t="inlineStr">
        <is>
          <t>ÖSTERGÖTLANDS LÄN</t>
        </is>
      </c>
      <c r="E2229" t="inlineStr">
        <is>
          <t>NORRKÖPING</t>
        </is>
      </c>
      <c r="G2229" t="n">
        <v>6.7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s="2" t="inlineStr"/>
    </row>
    <row r="2230" ht="15" customHeight="1">
      <c r="A2230" t="inlineStr">
        <is>
          <t>A 27706-2020</t>
        </is>
      </c>
      <c r="B2230" s="1" t="n">
        <v>43994</v>
      </c>
      <c r="C2230" s="1" t="n">
        <v>45211</v>
      </c>
      <c r="D2230" t="inlineStr">
        <is>
          <t>ÖSTERGÖTLANDS LÄN</t>
        </is>
      </c>
      <c r="E2230" t="inlineStr">
        <is>
          <t>LINKÖPING</t>
        </is>
      </c>
      <c r="G2230" t="n">
        <v>1.1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s="2" t="inlineStr"/>
    </row>
    <row r="2231" ht="15" customHeight="1">
      <c r="A2231" t="inlineStr">
        <is>
          <t>A 27779-2020</t>
        </is>
      </c>
      <c r="B2231" s="1" t="n">
        <v>43994</v>
      </c>
      <c r="C2231" s="1" t="n">
        <v>45211</v>
      </c>
      <c r="D2231" t="inlineStr">
        <is>
          <t>ÖSTERGÖTLANDS LÄN</t>
        </is>
      </c>
      <c r="E2231" t="inlineStr">
        <is>
          <t>NORRKÖPING</t>
        </is>
      </c>
      <c r="F2231" t="inlineStr">
        <is>
          <t>Holmen skog AB</t>
        </is>
      </c>
      <c r="G2231" t="n">
        <v>1.2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s="2" t="inlineStr"/>
    </row>
    <row r="2232" ht="15" customHeight="1">
      <c r="A2232" t="inlineStr">
        <is>
          <t>A 27871-2020</t>
        </is>
      </c>
      <c r="B2232" s="1" t="n">
        <v>43994</v>
      </c>
      <c r="C2232" s="1" t="n">
        <v>45211</v>
      </c>
      <c r="D2232" t="inlineStr">
        <is>
          <t>ÖSTERGÖTLANDS LÄN</t>
        </is>
      </c>
      <c r="E2232" t="inlineStr">
        <is>
          <t>NORRKÖPING</t>
        </is>
      </c>
      <c r="F2232" t="inlineStr">
        <is>
          <t>Holmen skog AB</t>
        </is>
      </c>
      <c r="G2232" t="n">
        <v>1.6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s="2" t="inlineStr"/>
    </row>
    <row r="2233" ht="15" customHeight="1">
      <c r="A2233" t="inlineStr">
        <is>
          <t>A 27715-2020</t>
        </is>
      </c>
      <c r="B2233" s="1" t="n">
        <v>43994</v>
      </c>
      <c r="C2233" s="1" t="n">
        <v>45211</v>
      </c>
      <c r="D2233" t="inlineStr">
        <is>
          <t>ÖSTERGÖTLANDS LÄN</t>
        </is>
      </c>
      <c r="E2233" t="inlineStr">
        <is>
          <t>MJÖLBY</t>
        </is>
      </c>
      <c r="G2233" t="n">
        <v>1.7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s="2" t="inlineStr"/>
    </row>
    <row r="2234" ht="15" customHeight="1">
      <c r="A2234" t="inlineStr">
        <is>
          <t>A 27851-2020</t>
        </is>
      </c>
      <c r="B2234" s="1" t="n">
        <v>43994</v>
      </c>
      <c r="C2234" s="1" t="n">
        <v>45211</v>
      </c>
      <c r="D2234" t="inlineStr">
        <is>
          <t>ÖSTERGÖTLANDS LÄN</t>
        </is>
      </c>
      <c r="E2234" t="inlineStr">
        <is>
          <t>NORRKÖPING</t>
        </is>
      </c>
      <c r="F2234" t="inlineStr">
        <is>
          <t>Holmen skog AB</t>
        </is>
      </c>
      <c r="G2234" t="n">
        <v>0.7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s="2" t="inlineStr"/>
    </row>
    <row r="2235" ht="15" customHeight="1">
      <c r="A2235" t="inlineStr">
        <is>
          <t>A 28044-2020</t>
        </is>
      </c>
      <c r="B2235" s="1" t="n">
        <v>43997</v>
      </c>
      <c r="C2235" s="1" t="n">
        <v>45211</v>
      </c>
      <c r="D2235" t="inlineStr">
        <is>
          <t>ÖSTERGÖTLANDS LÄN</t>
        </is>
      </c>
      <c r="E2235" t="inlineStr">
        <is>
          <t>NORRKÖPING</t>
        </is>
      </c>
      <c r="F2235" t="inlineStr">
        <is>
          <t>Holmen skog AB</t>
        </is>
      </c>
      <c r="G2235" t="n">
        <v>0.9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s="2" t="inlineStr"/>
    </row>
    <row r="2236" ht="15" customHeight="1">
      <c r="A2236" t="inlineStr">
        <is>
          <t>A 28320-2020</t>
        </is>
      </c>
      <c r="B2236" s="1" t="n">
        <v>43998</v>
      </c>
      <c r="C2236" s="1" t="n">
        <v>45211</v>
      </c>
      <c r="D2236" t="inlineStr">
        <is>
          <t>ÖSTERGÖTLANDS LÄN</t>
        </is>
      </c>
      <c r="E2236" t="inlineStr">
        <is>
          <t>ÅTVIDABERG</t>
        </is>
      </c>
      <c r="G2236" t="n">
        <v>2.9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s="2" t="inlineStr"/>
    </row>
    <row r="2237" ht="15" customHeight="1">
      <c r="A2237" t="inlineStr">
        <is>
          <t>A 28389-2020</t>
        </is>
      </c>
      <c r="B2237" s="1" t="n">
        <v>43998</v>
      </c>
      <c r="C2237" s="1" t="n">
        <v>45211</v>
      </c>
      <c r="D2237" t="inlineStr">
        <is>
          <t>ÖSTERGÖTLANDS LÄN</t>
        </is>
      </c>
      <c r="E2237" t="inlineStr">
        <is>
          <t>FINSPÅNG</t>
        </is>
      </c>
      <c r="G2237" t="n">
        <v>1.4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s="2" t="inlineStr"/>
    </row>
    <row r="2238" ht="15" customHeight="1">
      <c r="A2238" t="inlineStr">
        <is>
          <t>A 28403-2020</t>
        </is>
      </c>
      <c r="B2238" s="1" t="n">
        <v>43998</v>
      </c>
      <c r="C2238" s="1" t="n">
        <v>45211</v>
      </c>
      <c r="D2238" t="inlineStr">
        <is>
          <t>ÖSTERGÖTLANDS LÄN</t>
        </is>
      </c>
      <c r="E2238" t="inlineStr">
        <is>
          <t>FINSPÅNG</t>
        </is>
      </c>
      <c r="F2238" t="inlineStr">
        <is>
          <t>Holmen skog AB</t>
        </is>
      </c>
      <c r="G2238" t="n">
        <v>1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s="2" t="inlineStr"/>
    </row>
    <row r="2239" ht="15" customHeight="1">
      <c r="A2239" t="inlineStr">
        <is>
          <t>A 28364-2020</t>
        </is>
      </c>
      <c r="B2239" s="1" t="n">
        <v>43998</v>
      </c>
      <c r="C2239" s="1" t="n">
        <v>45211</v>
      </c>
      <c r="D2239" t="inlineStr">
        <is>
          <t>ÖSTERGÖTLANDS LÄN</t>
        </is>
      </c>
      <c r="E2239" t="inlineStr">
        <is>
          <t>NORRKÖPING</t>
        </is>
      </c>
      <c r="G2239" t="n">
        <v>1.7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s="2" t="inlineStr"/>
    </row>
    <row r="2240" ht="15" customHeight="1">
      <c r="A2240" t="inlineStr">
        <is>
          <t>A 28391-2020</t>
        </is>
      </c>
      <c r="B2240" s="1" t="n">
        <v>43998</v>
      </c>
      <c r="C2240" s="1" t="n">
        <v>45211</v>
      </c>
      <c r="D2240" t="inlineStr">
        <is>
          <t>ÖSTERGÖTLANDS LÄN</t>
        </is>
      </c>
      <c r="E2240" t="inlineStr">
        <is>
          <t>FINSPÅNG</t>
        </is>
      </c>
      <c r="G2240" t="n">
        <v>1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s="2" t="inlineStr"/>
    </row>
    <row r="2241" ht="15" customHeight="1">
      <c r="A2241" t="inlineStr">
        <is>
          <t>A 28689-2020</t>
        </is>
      </c>
      <c r="B2241" s="1" t="n">
        <v>43999</v>
      </c>
      <c r="C2241" s="1" t="n">
        <v>45211</v>
      </c>
      <c r="D2241" t="inlineStr">
        <is>
          <t>ÖSTERGÖTLANDS LÄN</t>
        </is>
      </c>
      <c r="E2241" t="inlineStr">
        <is>
          <t>ÅTVIDABERG</t>
        </is>
      </c>
      <c r="F2241" t="inlineStr">
        <is>
          <t>Övriga Aktiebolag</t>
        </is>
      </c>
      <c r="G2241" t="n">
        <v>2.8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s="2" t="inlineStr"/>
    </row>
    <row r="2242" ht="15" customHeight="1">
      <c r="A2242" t="inlineStr">
        <is>
          <t>A 28677-2020</t>
        </is>
      </c>
      <c r="B2242" s="1" t="n">
        <v>43999</v>
      </c>
      <c r="C2242" s="1" t="n">
        <v>45211</v>
      </c>
      <c r="D2242" t="inlineStr">
        <is>
          <t>ÖSTERGÖTLANDS LÄN</t>
        </is>
      </c>
      <c r="E2242" t="inlineStr">
        <is>
          <t>NORRKÖPING</t>
        </is>
      </c>
      <c r="G2242" t="n">
        <v>1.9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s="2" t="inlineStr"/>
    </row>
    <row r="2243" ht="15" customHeight="1">
      <c r="A2243" t="inlineStr">
        <is>
          <t>A 28680-2020</t>
        </is>
      </c>
      <c r="B2243" s="1" t="n">
        <v>43999</v>
      </c>
      <c r="C2243" s="1" t="n">
        <v>45211</v>
      </c>
      <c r="D2243" t="inlineStr">
        <is>
          <t>ÖSTERGÖTLANDS LÄN</t>
        </is>
      </c>
      <c r="E2243" t="inlineStr">
        <is>
          <t>LINKÖPING</t>
        </is>
      </c>
      <c r="G2243" t="n">
        <v>1.1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s="2" t="inlineStr"/>
    </row>
    <row r="2244" ht="15" customHeight="1">
      <c r="A2244" t="inlineStr">
        <is>
          <t>A 29045-2020</t>
        </is>
      </c>
      <c r="B2244" s="1" t="n">
        <v>44000</v>
      </c>
      <c r="C2244" s="1" t="n">
        <v>45211</v>
      </c>
      <c r="D2244" t="inlineStr">
        <is>
          <t>ÖSTERGÖTLANDS LÄN</t>
        </is>
      </c>
      <c r="E2244" t="inlineStr">
        <is>
          <t>KINDA</t>
        </is>
      </c>
      <c r="F2244" t="inlineStr">
        <is>
          <t>Sveaskog</t>
        </is>
      </c>
      <c r="G2244" t="n">
        <v>2.3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s="2" t="inlineStr"/>
    </row>
    <row r="2245" ht="15" customHeight="1">
      <c r="A2245" t="inlineStr">
        <is>
          <t>A 29018-2020</t>
        </is>
      </c>
      <c r="B2245" s="1" t="n">
        <v>44000</v>
      </c>
      <c r="C2245" s="1" t="n">
        <v>45211</v>
      </c>
      <c r="D2245" t="inlineStr">
        <is>
          <t>ÖSTERGÖTLANDS LÄN</t>
        </is>
      </c>
      <c r="E2245" t="inlineStr">
        <is>
          <t>ÅTVIDABERG</t>
        </is>
      </c>
      <c r="G2245" t="n">
        <v>3.2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s="2" t="inlineStr"/>
    </row>
    <row r="2246" ht="15" customHeight="1">
      <c r="A2246" t="inlineStr">
        <is>
          <t>A 28940-2020</t>
        </is>
      </c>
      <c r="B2246" s="1" t="n">
        <v>44000</v>
      </c>
      <c r="C2246" s="1" t="n">
        <v>45211</v>
      </c>
      <c r="D2246" t="inlineStr">
        <is>
          <t>ÖSTERGÖTLANDS LÄN</t>
        </is>
      </c>
      <c r="E2246" t="inlineStr">
        <is>
          <t>BOXHOLM</t>
        </is>
      </c>
      <c r="F2246" t="inlineStr">
        <is>
          <t>Övriga Aktiebolag</t>
        </is>
      </c>
      <c r="G2246" t="n">
        <v>1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s="2" t="inlineStr"/>
    </row>
    <row r="2247" ht="15" customHeight="1">
      <c r="A2247" t="inlineStr">
        <is>
          <t>A 29111-2020</t>
        </is>
      </c>
      <c r="B2247" s="1" t="n">
        <v>44003</v>
      </c>
      <c r="C2247" s="1" t="n">
        <v>45211</v>
      </c>
      <c r="D2247" t="inlineStr">
        <is>
          <t>ÖSTERGÖTLANDS LÄN</t>
        </is>
      </c>
      <c r="E2247" t="inlineStr">
        <is>
          <t>FINSPÅNG</t>
        </is>
      </c>
      <c r="F2247" t="inlineStr">
        <is>
          <t>Holmen skog AB</t>
        </is>
      </c>
      <c r="G2247" t="n">
        <v>2.2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s="2" t="inlineStr"/>
    </row>
    <row r="2248" ht="15" customHeight="1">
      <c r="A2248" t="inlineStr">
        <is>
          <t>A 29149-2020</t>
        </is>
      </c>
      <c r="B2248" s="1" t="n">
        <v>44004</v>
      </c>
      <c r="C2248" s="1" t="n">
        <v>45211</v>
      </c>
      <c r="D2248" t="inlineStr">
        <is>
          <t>ÖSTERGÖTLANDS LÄN</t>
        </is>
      </c>
      <c r="E2248" t="inlineStr">
        <is>
          <t>ÅTVIDABERG</t>
        </is>
      </c>
      <c r="G2248" t="n">
        <v>0.9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s="2" t="inlineStr"/>
    </row>
    <row r="2249" ht="15" customHeight="1">
      <c r="A2249" t="inlineStr">
        <is>
          <t>A 29878-2020</t>
        </is>
      </c>
      <c r="B2249" s="1" t="n">
        <v>44006</v>
      </c>
      <c r="C2249" s="1" t="n">
        <v>45211</v>
      </c>
      <c r="D2249" t="inlineStr">
        <is>
          <t>ÖSTERGÖTLANDS LÄN</t>
        </is>
      </c>
      <c r="E2249" t="inlineStr">
        <is>
          <t>MJÖLBY</t>
        </is>
      </c>
      <c r="G2249" t="n">
        <v>1.8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s="2" t="inlineStr"/>
    </row>
    <row r="2250" ht="15" customHeight="1">
      <c r="A2250" t="inlineStr">
        <is>
          <t>A 30057-2020</t>
        </is>
      </c>
      <c r="B2250" s="1" t="n">
        <v>44006</v>
      </c>
      <c r="C2250" s="1" t="n">
        <v>45211</v>
      </c>
      <c r="D2250" t="inlineStr">
        <is>
          <t>ÖSTERGÖTLANDS LÄN</t>
        </is>
      </c>
      <c r="E2250" t="inlineStr">
        <is>
          <t>NORRKÖPING</t>
        </is>
      </c>
      <c r="G2250" t="n">
        <v>0.7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s="2" t="inlineStr"/>
    </row>
    <row r="2251" ht="15" customHeight="1">
      <c r="A2251" t="inlineStr">
        <is>
          <t>A 30045-2020</t>
        </is>
      </c>
      <c r="B2251" s="1" t="n">
        <v>44006</v>
      </c>
      <c r="C2251" s="1" t="n">
        <v>45211</v>
      </c>
      <c r="D2251" t="inlineStr">
        <is>
          <t>ÖSTERGÖTLANDS LÄN</t>
        </is>
      </c>
      <c r="E2251" t="inlineStr">
        <is>
          <t>NORRKÖPING</t>
        </is>
      </c>
      <c r="G2251" t="n">
        <v>1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s="2" t="inlineStr"/>
    </row>
    <row r="2252" ht="15" customHeight="1">
      <c r="A2252" t="inlineStr">
        <is>
          <t>A 30055-2020</t>
        </is>
      </c>
      <c r="B2252" s="1" t="n">
        <v>44006</v>
      </c>
      <c r="C2252" s="1" t="n">
        <v>45211</v>
      </c>
      <c r="D2252" t="inlineStr">
        <is>
          <t>ÖSTERGÖTLANDS LÄN</t>
        </is>
      </c>
      <c r="E2252" t="inlineStr">
        <is>
          <t>NORRKÖPING</t>
        </is>
      </c>
      <c r="G2252" t="n">
        <v>1.5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s="2" t="inlineStr"/>
    </row>
    <row r="2253" ht="15" customHeight="1">
      <c r="A2253" t="inlineStr">
        <is>
          <t>A 30322-2020</t>
        </is>
      </c>
      <c r="B2253" s="1" t="n">
        <v>44007</v>
      </c>
      <c r="C2253" s="1" t="n">
        <v>45211</v>
      </c>
      <c r="D2253" t="inlineStr">
        <is>
          <t>ÖSTERGÖTLANDS LÄN</t>
        </is>
      </c>
      <c r="E2253" t="inlineStr">
        <is>
          <t>MOTALA</t>
        </is>
      </c>
      <c r="G2253" t="n">
        <v>2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s="2" t="inlineStr"/>
    </row>
    <row r="2254" ht="15" customHeight="1">
      <c r="A2254" t="inlineStr">
        <is>
          <t>A 30460-2020</t>
        </is>
      </c>
      <c r="B2254" s="1" t="n">
        <v>44007</v>
      </c>
      <c r="C2254" s="1" t="n">
        <v>45211</v>
      </c>
      <c r="D2254" t="inlineStr">
        <is>
          <t>ÖSTERGÖTLANDS LÄN</t>
        </is>
      </c>
      <c r="E2254" t="inlineStr">
        <is>
          <t>KINDA</t>
        </is>
      </c>
      <c r="F2254" t="inlineStr">
        <is>
          <t>Sveaskog</t>
        </is>
      </c>
      <c r="G2254" t="n">
        <v>5.1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s="2" t="inlineStr"/>
    </row>
    <row r="2255" ht="15" customHeight="1">
      <c r="A2255" t="inlineStr">
        <is>
          <t>A 30626-2020</t>
        </is>
      </c>
      <c r="B2255" s="1" t="n">
        <v>44008</v>
      </c>
      <c r="C2255" s="1" t="n">
        <v>45211</v>
      </c>
      <c r="D2255" t="inlineStr">
        <is>
          <t>ÖSTERGÖTLANDS LÄN</t>
        </is>
      </c>
      <c r="E2255" t="inlineStr">
        <is>
          <t>FINSPÅNG</t>
        </is>
      </c>
      <c r="G2255" t="n">
        <v>1.3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s="2" t="inlineStr"/>
    </row>
    <row r="2256" ht="15" customHeight="1">
      <c r="A2256" t="inlineStr">
        <is>
          <t>A 30642-2020</t>
        </is>
      </c>
      <c r="B2256" s="1" t="n">
        <v>44008</v>
      </c>
      <c r="C2256" s="1" t="n">
        <v>45211</v>
      </c>
      <c r="D2256" t="inlineStr">
        <is>
          <t>ÖSTERGÖTLANDS LÄN</t>
        </is>
      </c>
      <c r="E2256" t="inlineStr">
        <is>
          <t>BOXHOLM</t>
        </is>
      </c>
      <c r="F2256" t="inlineStr">
        <is>
          <t>Övriga Aktiebolag</t>
        </is>
      </c>
      <c r="G2256" t="n">
        <v>0.8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s="2" t="inlineStr"/>
    </row>
    <row r="2257" ht="15" customHeight="1">
      <c r="A2257" t="inlineStr">
        <is>
          <t>A 30615-2020</t>
        </is>
      </c>
      <c r="B2257" s="1" t="n">
        <v>44008</v>
      </c>
      <c r="C2257" s="1" t="n">
        <v>45211</v>
      </c>
      <c r="D2257" t="inlineStr">
        <is>
          <t>ÖSTERGÖTLANDS LÄN</t>
        </is>
      </c>
      <c r="E2257" t="inlineStr">
        <is>
          <t>NORRKÖPING</t>
        </is>
      </c>
      <c r="G2257" t="n">
        <v>0.7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s="2" t="inlineStr"/>
    </row>
    <row r="2258" ht="15" customHeight="1">
      <c r="A2258" t="inlineStr">
        <is>
          <t>A 30643-2020</t>
        </is>
      </c>
      <c r="B2258" s="1" t="n">
        <v>44008</v>
      </c>
      <c r="C2258" s="1" t="n">
        <v>45211</v>
      </c>
      <c r="D2258" t="inlineStr">
        <is>
          <t>ÖSTERGÖTLANDS LÄN</t>
        </is>
      </c>
      <c r="E2258" t="inlineStr">
        <is>
          <t>NORRKÖPING</t>
        </is>
      </c>
      <c r="G2258" t="n">
        <v>8.699999999999999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s="2" t="inlineStr"/>
    </row>
    <row r="2259" ht="15" customHeight="1">
      <c r="A2259" t="inlineStr">
        <is>
          <t>A 30559-2020</t>
        </is>
      </c>
      <c r="B2259" s="1" t="n">
        <v>44008</v>
      </c>
      <c r="C2259" s="1" t="n">
        <v>45211</v>
      </c>
      <c r="D2259" t="inlineStr">
        <is>
          <t>ÖSTERGÖTLANDS LÄN</t>
        </is>
      </c>
      <c r="E2259" t="inlineStr">
        <is>
          <t>KINDA</t>
        </is>
      </c>
      <c r="G2259" t="n">
        <v>5.2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s="2" t="inlineStr"/>
    </row>
    <row r="2260" ht="15" customHeight="1">
      <c r="A2260" t="inlineStr">
        <is>
          <t>A 30624-2020</t>
        </is>
      </c>
      <c r="B2260" s="1" t="n">
        <v>44008</v>
      </c>
      <c r="C2260" s="1" t="n">
        <v>45211</v>
      </c>
      <c r="D2260" t="inlineStr">
        <is>
          <t>ÖSTERGÖTLANDS LÄN</t>
        </is>
      </c>
      <c r="E2260" t="inlineStr">
        <is>
          <t>FINSPÅNG</t>
        </is>
      </c>
      <c r="G2260" t="n">
        <v>4.7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s="2" t="inlineStr"/>
    </row>
    <row r="2261" ht="15" customHeight="1">
      <c r="A2261" t="inlineStr">
        <is>
          <t>A 30647-2020</t>
        </is>
      </c>
      <c r="B2261" s="1" t="n">
        <v>44008</v>
      </c>
      <c r="C2261" s="1" t="n">
        <v>45211</v>
      </c>
      <c r="D2261" t="inlineStr">
        <is>
          <t>ÖSTERGÖTLANDS LÄN</t>
        </is>
      </c>
      <c r="E2261" t="inlineStr">
        <is>
          <t>NORRKÖPING</t>
        </is>
      </c>
      <c r="G2261" t="n">
        <v>4.6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s="2" t="inlineStr"/>
    </row>
    <row r="2262" ht="15" customHeight="1">
      <c r="A2262" t="inlineStr">
        <is>
          <t>A 30717-2020</t>
        </is>
      </c>
      <c r="B2262" s="1" t="n">
        <v>44008</v>
      </c>
      <c r="C2262" s="1" t="n">
        <v>45211</v>
      </c>
      <c r="D2262" t="inlineStr">
        <is>
          <t>ÖSTERGÖTLANDS LÄN</t>
        </is>
      </c>
      <c r="E2262" t="inlineStr">
        <is>
          <t>NORRKÖPING</t>
        </is>
      </c>
      <c r="G2262" t="n">
        <v>3.3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s="2" t="inlineStr"/>
    </row>
    <row r="2263" ht="15" customHeight="1">
      <c r="A2263" t="inlineStr">
        <is>
          <t>A 31047-2020</t>
        </is>
      </c>
      <c r="B2263" s="1" t="n">
        <v>44011</v>
      </c>
      <c r="C2263" s="1" t="n">
        <v>45211</v>
      </c>
      <c r="D2263" t="inlineStr">
        <is>
          <t>ÖSTERGÖTLANDS LÄN</t>
        </is>
      </c>
      <c r="E2263" t="inlineStr">
        <is>
          <t>NORRKÖPING</t>
        </is>
      </c>
      <c r="G2263" t="n">
        <v>2.4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s="2" t="inlineStr"/>
    </row>
    <row r="2264" ht="15" customHeight="1">
      <c r="A2264" t="inlineStr">
        <is>
          <t>A 31278-2020</t>
        </is>
      </c>
      <c r="B2264" s="1" t="n">
        <v>44011</v>
      </c>
      <c r="C2264" s="1" t="n">
        <v>45211</v>
      </c>
      <c r="D2264" t="inlineStr">
        <is>
          <t>ÖSTERGÖTLANDS LÄN</t>
        </is>
      </c>
      <c r="E2264" t="inlineStr">
        <is>
          <t>FINSPÅNG</t>
        </is>
      </c>
      <c r="G2264" t="n">
        <v>2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s="2" t="inlineStr"/>
    </row>
    <row r="2265" ht="15" customHeight="1">
      <c r="A2265" t="inlineStr">
        <is>
          <t>A 30932-2020</t>
        </is>
      </c>
      <c r="B2265" s="1" t="n">
        <v>44011</v>
      </c>
      <c r="C2265" s="1" t="n">
        <v>45211</v>
      </c>
      <c r="D2265" t="inlineStr">
        <is>
          <t>ÖSTERGÖTLANDS LÄN</t>
        </is>
      </c>
      <c r="E2265" t="inlineStr">
        <is>
          <t>KINDA</t>
        </is>
      </c>
      <c r="G2265" t="n">
        <v>1.7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s="2" t="inlineStr"/>
    </row>
    <row r="2266" ht="15" customHeight="1">
      <c r="A2266" t="inlineStr">
        <is>
          <t>A 31046-2020</t>
        </is>
      </c>
      <c r="B2266" s="1" t="n">
        <v>44011</v>
      </c>
      <c r="C2266" s="1" t="n">
        <v>45211</v>
      </c>
      <c r="D2266" t="inlineStr">
        <is>
          <t>ÖSTERGÖTLANDS LÄN</t>
        </is>
      </c>
      <c r="E2266" t="inlineStr">
        <is>
          <t>NORRKÖPING</t>
        </is>
      </c>
      <c r="G2266" t="n">
        <v>1.7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s="2" t="inlineStr"/>
    </row>
    <row r="2267" ht="15" customHeight="1">
      <c r="A2267" t="inlineStr">
        <is>
          <t>A 31266-2020</t>
        </is>
      </c>
      <c r="B2267" s="1" t="n">
        <v>44011</v>
      </c>
      <c r="C2267" s="1" t="n">
        <v>45211</v>
      </c>
      <c r="D2267" t="inlineStr">
        <is>
          <t>ÖSTERGÖTLANDS LÄN</t>
        </is>
      </c>
      <c r="E2267" t="inlineStr">
        <is>
          <t>FINSPÅNG</t>
        </is>
      </c>
      <c r="G2267" t="n">
        <v>2.7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s="2" t="inlineStr"/>
    </row>
    <row r="2268" ht="15" customHeight="1">
      <c r="A2268" t="inlineStr">
        <is>
          <t>A 31461-2020</t>
        </is>
      </c>
      <c r="B2268" s="1" t="n">
        <v>44012</v>
      </c>
      <c r="C2268" s="1" t="n">
        <v>45211</v>
      </c>
      <c r="D2268" t="inlineStr">
        <is>
          <t>ÖSTERGÖTLANDS LÄN</t>
        </is>
      </c>
      <c r="E2268" t="inlineStr">
        <is>
          <t>NORRKÖPING</t>
        </is>
      </c>
      <c r="F2268" t="inlineStr">
        <is>
          <t>Allmännings- och besparingsskogar</t>
        </is>
      </c>
      <c r="G2268" t="n">
        <v>3.8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s="2" t="inlineStr"/>
    </row>
    <row r="2269" ht="15" customHeight="1">
      <c r="A2269" t="inlineStr">
        <is>
          <t>A 31479-2020</t>
        </is>
      </c>
      <c r="B2269" s="1" t="n">
        <v>44013</v>
      </c>
      <c r="C2269" s="1" t="n">
        <v>45211</v>
      </c>
      <c r="D2269" t="inlineStr">
        <is>
          <t>ÖSTERGÖTLANDS LÄN</t>
        </is>
      </c>
      <c r="E2269" t="inlineStr">
        <is>
          <t>MOTALA</t>
        </is>
      </c>
      <c r="G2269" t="n">
        <v>0.8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s="2" t="inlineStr"/>
    </row>
    <row r="2270" ht="15" customHeight="1">
      <c r="A2270" t="inlineStr">
        <is>
          <t>A 31611-2020</t>
        </is>
      </c>
      <c r="B2270" s="1" t="n">
        <v>44013</v>
      </c>
      <c r="C2270" s="1" t="n">
        <v>45211</v>
      </c>
      <c r="D2270" t="inlineStr">
        <is>
          <t>ÖSTERGÖTLANDS LÄN</t>
        </is>
      </c>
      <c r="E2270" t="inlineStr">
        <is>
          <t>FINSPÅNG</t>
        </is>
      </c>
      <c r="G2270" t="n">
        <v>1.9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s="2" t="inlineStr"/>
    </row>
    <row r="2271" ht="15" customHeight="1">
      <c r="A2271" t="inlineStr">
        <is>
          <t>A 31398-2020</t>
        </is>
      </c>
      <c r="B2271" s="1" t="n">
        <v>44013</v>
      </c>
      <c r="C2271" s="1" t="n">
        <v>45211</v>
      </c>
      <c r="D2271" t="inlineStr">
        <is>
          <t>ÖSTERGÖTLANDS LÄN</t>
        </is>
      </c>
      <c r="E2271" t="inlineStr">
        <is>
          <t>ÅTVIDABERG</t>
        </is>
      </c>
      <c r="G2271" t="n">
        <v>1.5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s="2" t="inlineStr"/>
    </row>
    <row r="2272" ht="15" customHeight="1">
      <c r="A2272" t="inlineStr">
        <is>
          <t>A 31565-2020</t>
        </is>
      </c>
      <c r="B2272" s="1" t="n">
        <v>44013</v>
      </c>
      <c r="C2272" s="1" t="n">
        <v>45211</v>
      </c>
      <c r="D2272" t="inlineStr">
        <is>
          <t>ÖSTERGÖTLANDS LÄN</t>
        </is>
      </c>
      <c r="E2272" t="inlineStr">
        <is>
          <t>MOTALA</t>
        </is>
      </c>
      <c r="G2272" t="n">
        <v>2.9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s="2" t="inlineStr"/>
    </row>
    <row r="2273" ht="15" customHeight="1">
      <c r="A2273" t="inlineStr">
        <is>
          <t>A 31612-2020</t>
        </is>
      </c>
      <c r="B2273" s="1" t="n">
        <v>44013</v>
      </c>
      <c r="C2273" s="1" t="n">
        <v>45211</v>
      </c>
      <c r="D2273" t="inlineStr">
        <is>
          <t>ÖSTERGÖTLANDS LÄN</t>
        </is>
      </c>
      <c r="E2273" t="inlineStr">
        <is>
          <t>FINSPÅNG</t>
        </is>
      </c>
      <c r="G2273" t="n">
        <v>0.7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s="2" t="inlineStr"/>
    </row>
    <row r="2274" ht="15" customHeight="1">
      <c r="A2274" t="inlineStr">
        <is>
          <t>A 31775-2020</t>
        </is>
      </c>
      <c r="B2274" s="1" t="n">
        <v>44014</v>
      </c>
      <c r="C2274" s="1" t="n">
        <v>45211</v>
      </c>
      <c r="D2274" t="inlineStr">
        <is>
          <t>ÖSTERGÖTLANDS LÄN</t>
        </is>
      </c>
      <c r="E2274" t="inlineStr">
        <is>
          <t>SÖDERKÖPING</t>
        </is>
      </c>
      <c r="G2274" t="n">
        <v>1.2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s="2" t="inlineStr"/>
    </row>
    <row r="2275" ht="15" customHeight="1">
      <c r="A2275" t="inlineStr">
        <is>
          <t>A 31903-2020</t>
        </is>
      </c>
      <c r="B2275" s="1" t="n">
        <v>44014</v>
      </c>
      <c r="C2275" s="1" t="n">
        <v>45211</v>
      </c>
      <c r="D2275" t="inlineStr">
        <is>
          <t>ÖSTERGÖTLANDS LÄN</t>
        </is>
      </c>
      <c r="E2275" t="inlineStr">
        <is>
          <t>MJÖLBY</t>
        </is>
      </c>
      <c r="G2275" t="n">
        <v>4.5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s="2" t="inlineStr"/>
    </row>
    <row r="2276" ht="15" customHeight="1">
      <c r="A2276" t="inlineStr">
        <is>
          <t>A 31910-2020</t>
        </is>
      </c>
      <c r="B2276" s="1" t="n">
        <v>44014</v>
      </c>
      <c r="C2276" s="1" t="n">
        <v>45211</v>
      </c>
      <c r="D2276" t="inlineStr">
        <is>
          <t>ÖSTERGÖTLANDS LÄN</t>
        </is>
      </c>
      <c r="E2276" t="inlineStr">
        <is>
          <t>MOTALA</t>
        </is>
      </c>
      <c r="F2276" t="inlineStr">
        <is>
          <t>Kommuner</t>
        </is>
      </c>
      <c r="G2276" t="n">
        <v>0.5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s="2" t="inlineStr"/>
      <c r="U2276">
        <f>HYPERLINK("https://klasma.github.io/Logging_0583/knärot/A 31910-2020.png", "A 31910-2020")</f>
        <v/>
      </c>
      <c r="V2276">
        <f>HYPERLINK("https://klasma.github.io/Logging_0583/klagomål/A 31910-2020.docx", "A 31910-2020")</f>
        <v/>
      </c>
      <c r="W2276">
        <f>HYPERLINK("https://klasma.github.io/Logging_0583/klagomålsmail/A 31910-2020.docx", "A 31910-2020")</f>
        <v/>
      </c>
      <c r="X2276">
        <f>HYPERLINK("https://klasma.github.io/Logging_0583/tillsyn/A 31910-2020.docx", "A 31910-2020")</f>
        <v/>
      </c>
      <c r="Y2276">
        <f>HYPERLINK("https://klasma.github.io/Logging_0583/tillsynsmail/A 31910-2020.docx", "A 31910-2020")</f>
        <v/>
      </c>
    </row>
    <row r="2277" ht="15" customHeight="1">
      <c r="A2277" t="inlineStr">
        <is>
          <t>A 31954-2020</t>
        </is>
      </c>
      <c r="B2277" s="1" t="n">
        <v>44014</v>
      </c>
      <c r="C2277" s="1" t="n">
        <v>45211</v>
      </c>
      <c r="D2277" t="inlineStr">
        <is>
          <t>ÖSTERGÖTLANDS LÄN</t>
        </is>
      </c>
      <c r="E2277" t="inlineStr">
        <is>
          <t>NORRKÖPING</t>
        </is>
      </c>
      <c r="F2277" t="inlineStr">
        <is>
          <t>Allmännings- och besparingsskogar</t>
        </is>
      </c>
      <c r="G2277" t="n">
        <v>2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s="2" t="inlineStr"/>
    </row>
    <row r="2278" ht="15" customHeight="1">
      <c r="A2278" t="inlineStr">
        <is>
          <t>A 31773-2020</t>
        </is>
      </c>
      <c r="B2278" s="1" t="n">
        <v>44014</v>
      </c>
      <c r="C2278" s="1" t="n">
        <v>45211</v>
      </c>
      <c r="D2278" t="inlineStr">
        <is>
          <t>ÖSTERGÖTLANDS LÄN</t>
        </is>
      </c>
      <c r="E2278" t="inlineStr">
        <is>
          <t>SÖDERKÖPING</t>
        </is>
      </c>
      <c r="G2278" t="n">
        <v>3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s="2" t="inlineStr"/>
    </row>
    <row r="2279" ht="15" customHeight="1">
      <c r="A2279" t="inlineStr">
        <is>
          <t>A 31906-2020</t>
        </is>
      </c>
      <c r="B2279" s="1" t="n">
        <v>44014</v>
      </c>
      <c r="C2279" s="1" t="n">
        <v>45211</v>
      </c>
      <c r="D2279" t="inlineStr">
        <is>
          <t>ÖSTERGÖTLANDS LÄN</t>
        </is>
      </c>
      <c r="E2279" t="inlineStr">
        <is>
          <t>MJÖLBY</t>
        </is>
      </c>
      <c r="G2279" t="n">
        <v>17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s="2" t="inlineStr"/>
    </row>
    <row r="2280" ht="15" customHeight="1">
      <c r="A2280" t="inlineStr">
        <is>
          <t>A 32180-2020</t>
        </is>
      </c>
      <c r="B2280" s="1" t="n">
        <v>44015</v>
      </c>
      <c r="C2280" s="1" t="n">
        <v>45211</v>
      </c>
      <c r="D2280" t="inlineStr">
        <is>
          <t>ÖSTERGÖTLANDS LÄN</t>
        </is>
      </c>
      <c r="E2280" t="inlineStr">
        <is>
          <t>KINDA</t>
        </is>
      </c>
      <c r="G2280" t="n">
        <v>1.1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s="2" t="inlineStr"/>
    </row>
    <row r="2281" ht="15" customHeight="1">
      <c r="A2281" t="inlineStr">
        <is>
          <t>A 32288-2020</t>
        </is>
      </c>
      <c r="B2281" s="1" t="n">
        <v>44015</v>
      </c>
      <c r="C2281" s="1" t="n">
        <v>45211</v>
      </c>
      <c r="D2281" t="inlineStr">
        <is>
          <t>ÖSTERGÖTLANDS LÄN</t>
        </is>
      </c>
      <c r="E2281" t="inlineStr">
        <is>
          <t>FINSPÅNG</t>
        </is>
      </c>
      <c r="G2281" t="n">
        <v>5.2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s="2" t="inlineStr"/>
    </row>
    <row r="2282" ht="15" customHeight="1">
      <c r="A2282" t="inlineStr">
        <is>
          <t>A 32112-2020</t>
        </is>
      </c>
      <c r="B2282" s="1" t="n">
        <v>44015</v>
      </c>
      <c r="C2282" s="1" t="n">
        <v>45211</v>
      </c>
      <c r="D2282" t="inlineStr">
        <is>
          <t>ÖSTERGÖTLANDS LÄN</t>
        </is>
      </c>
      <c r="E2282" t="inlineStr">
        <is>
          <t>YDRE</t>
        </is>
      </c>
      <c r="G2282" t="n">
        <v>0.5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s="2" t="inlineStr"/>
    </row>
    <row r="2283" ht="15" customHeight="1">
      <c r="A2283" t="inlineStr">
        <is>
          <t>A 32159-2020</t>
        </is>
      </c>
      <c r="B2283" s="1" t="n">
        <v>44015</v>
      </c>
      <c r="C2283" s="1" t="n">
        <v>45211</v>
      </c>
      <c r="D2283" t="inlineStr">
        <is>
          <t>ÖSTERGÖTLANDS LÄN</t>
        </is>
      </c>
      <c r="E2283" t="inlineStr">
        <is>
          <t>MJÖLBY</t>
        </is>
      </c>
      <c r="F2283" t="inlineStr">
        <is>
          <t>Kommuner</t>
        </is>
      </c>
      <c r="G2283" t="n">
        <v>1.4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s="2" t="inlineStr"/>
    </row>
    <row r="2284" ht="15" customHeight="1">
      <c r="A2284" t="inlineStr">
        <is>
          <t>A 32102-2020</t>
        </is>
      </c>
      <c r="B2284" s="1" t="n">
        <v>44015</v>
      </c>
      <c r="C2284" s="1" t="n">
        <v>45211</v>
      </c>
      <c r="D2284" t="inlineStr">
        <is>
          <t>ÖSTERGÖTLANDS LÄN</t>
        </is>
      </c>
      <c r="E2284" t="inlineStr">
        <is>
          <t>NORRKÖPING</t>
        </is>
      </c>
      <c r="G2284" t="n">
        <v>1.7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s="2" t="inlineStr"/>
    </row>
    <row r="2285" ht="15" customHeight="1">
      <c r="A2285" t="inlineStr">
        <is>
          <t>A 32290-2020</t>
        </is>
      </c>
      <c r="B2285" s="1" t="n">
        <v>44015</v>
      </c>
      <c r="C2285" s="1" t="n">
        <v>45211</v>
      </c>
      <c r="D2285" t="inlineStr">
        <is>
          <t>ÖSTERGÖTLANDS LÄN</t>
        </is>
      </c>
      <c r="E2285" t="inlineStr">
        <is>
          <t>FINSPÅNG</t>
        </is>
      </c>
      <c r="G2285" t="n">
        <v>0.5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s="2" t="inlineStr"/>
    </row>
    <row r="2286" ht="15" customHeight="1">
      <c r="A2286" t="inlineStr">
        <is>
          <t>A 32436-2020</t>
        </is>
      </c>
      <c r="B2286" s="1" t="n">
        <v>44018</v>
      </c>
      <c r="C2286" s="1" t="n">
        <v>45211</v>
      </c>
      <c r="D2286" t="inlineStr">
        <is>
          <t>ÖSTERGÖTLANDS LÄN</t>
        </is>
      </c>
      <c r="E2286" t="inlineStr">
        <is>
          <t>YDRE</t>
        </is>
      </c>
      <c r="G2286" t="n">
        <v>1.5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s="2" t="inlineStr"/>
    </row>
    <row r="2287" ht="15" customHeight="1">
      <c r="A2287" t="inlineStr">
        <is>
          <t>A 32555-2020</t>
        </is>
      </c>
      <c r="B2287" s="1" t="n">
        <v>44018</v>
      </c>
      <c r="C2287" s="1" t="n">
        <v>45211</v>
      </c>
      <c r="D2287" t="inlineStr">
        <is>
          <t>ÖSTERGÖTLANDS LÄN</t>
        </is>
      </c>
      <c r="E2287" t="inlineStr">
        <is>
          <t>NORRKÖPING</t>
        </is>
      </c>
      <c r="G2287" t="n">
        <v>1.8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s="2" t="inlineStr"/>
    </row>
    <row r="2288" ht="15" customHeight="1">
      <c r="A2288" t="inlineStr">
        <is>
          <t>A 32641-2020</t>
        </is>
      </c>
      <c r="B2288" s="1" t="n">
        <v>44018</v>
      </c>
      <c r="C2288" s="1" t="n">
        <v>45211</v>
      </c>
      <c r="D2288" t="inlineStr">
        <is>
          <t>ÖSTERGÖTLANDS LÄN</t>
        </is>
      </c>
      <c r="E2288" t="inlineStr">
        <is>
          <t>NORRKÖPING</t>
        </is>
      </c>
      <c r="G2288" t="n">
        <v>2.6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s="2" t="inlineStr"/>
    </row>
    <row r="2289" ht="15" customHeight="1">
      <c r="A2289" t="inlineStr">
        <is>
          <t>A 32389-2020</t>
        </is>
      </c>
      <c r="B2289" s="1" t="n">
        <v>44018</v>
      </c>
      <c r="C2289" s="1" t="n">
        <v>45211</v>
      </c>
      <c r="D2289" t="inlineStr">
        <is>
          <t>ÖSTERGÖTLANDS LÄN</t>
        </is>
      </c>
      <c r="E2289" t="inlineStr">
        <is>
          <t>FINSPÅNG</t>
        </is>
      </c>
      <c r="G2289" t="n">
        <v>2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s="2" t="inlineStr"/>
    </row>
    <row r="2290" ht="15" customHeight="1">
      <c r="A2290" t="inlineStr">
        <is>
          <t>A 32545-2020</t>
        </is>
      </c>
      <c r="B2290" s="1" t="n">
        <v>44018</v>
      </c>
      <c r="C2290" s="1" t="n">
        <v>45211</v>
      </c>
      <c r="D2290" t="inlineStr">
        <is>
          <t>ÖSTERGÖTLANDS LÄN</t>
        </is>
      </c>
      <c r="E2290" t="inlineStr">
        <is>
          <t>NORRKÖPING</t>
        </is>
      </c>
      <c r="G2290" t="n">
        <v>14.9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s="2" t="inlineStr"/>
    </row>
    <row r="2291" ht="15" customHeight="1">
      <c r="A2291" t="inlineStr">
        <is>
          <t>A 32642-2020</t>
        </is>
      </c>
      <c r="B2291" s="1" t="n">
        <v>44018</v>
      </c>
      <c r="C2291" s="1" t="n">
        <v>45211</v>
      </c>
      <c r="D2291" t="inlineStr">
        <is>
          <t>ÖSTERGÖTLANDS LÄN</t>
        </is>
      </c>
      <c r="E2291" t="inlineStr">
        <is>
          <t>NORRKÖPING</t>
        </is>
      </c>
      <c r="G2291" t="n">
        <v>2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s="2" t="inlineStr"/>
    </row>
    <row r="2292" ht="15" customHeight="1">
      <c r="A2292" t="inlineStr">
        <is>
          <t>A 32384-2020</t>
        </is>
      </c>
      <c r="B2292" s="1" t="n">
        <v>44018</v>
      </c>
      <c r="C2292" s="1" t="n">
        <v>45211</v>
      </c>
      <c r="D2292" t="inlineStr">
        <is>
          <t>ÖSTERGÖTLANDS LÄN</t>
        </is>
      </c>
      <c r="E2292" t="inlineStr">
        <is>
          <t>FINSPÅNG</t>
        </is>
      </c>
      <c r="G2292" t="n">
        <v>2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s="2" t="inlineStr"/>
    </row>
    <row r="2293" ht="15" customHeight="1">
      <c r="A2293" t="inlineStr">
        <is>
          <t>A 32392-2020</t>
        </is>
      </c>
      <c r="B2293" s="1" t="n">
        <v>44018</v>
      </c>
      <c r="C2293" s="1" t="n">
        <v>45211</v>
      </c>
      <c r="D2293" t="inlineStr">
        <is>
          <t>ÖSTERGÖTLANDS LÄN</t>
        </is>
      </c>
      <c r="E2293" t="inlineStr">
        <is>
          <t>FINSPÅNG</t>
        </is>
      </c>
      <c r="G2293" t="n">
        <v>1.6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s="2" t="inlineStr"/>
    </row>
    <row r="2294" ht="15" customHeight="1">
      <c r="A2294" t="inlineStr">
        <is>
          <t>A 32537-2020</t>
        </is>
      </c>
      <c r="B2294" s="1" t="n">
        <v>44018</v>
      </c>
      <c r="C2294" s="1" t="n">
        <v>45211</v>
      </c>
      <c r="D2294" t="inlineStr">
        <is>
          <t>ÖSTERGÖTLANDS LÄN</t>
        </is>
      </c>
      <c r="E2294" t="inlineStr">
        <is>
          <t>MOTALA</t>
        </is>
      </c>
      <c r="G2294" t="n">
        <v>4.1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s="2" t="inlineStr"/>
    </row>
    <row r="2295" ht="15" customHeight="1">
      <c r="A2295" t="inlineStr">
        <is>
          <t>A 32637-2020</t>
        </is>
      </c>
      <c r="B2295" s="1" t="n">
        <v>44018</v>
      </c>
      <c r="C2295" s="1" t="n">
        <v>45211</v>
      </c>
      <c r="D2295" t="inlineStr">
        <is>
          <t>ÖSTERGÖTLANDS LÄN</t>
        </is>
      </c>
      <c r="E2295" t="inlineStr">
        <is>
          <t>NORRKÖPING</t>
        </is>
      </c>
      <c r="G2295" t="n">
        <v>3.6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s="2" t="inlineStr"/>
    </row>
    <row r="2296" ht="15" customHeight="1">
      <c r="A2296" t="inlineStr">
        <is>
          <t>A 32432-2020</t>
        </is>
      </c>
      <c r="B2296" s="1" t="n">
        <v>44018</v>
      </c>
      <c r="C2296" s="1" t="n">
        <v>45211</v>
      </c>
      <c r="D2296" t="inlineStr">
        <is>
          <t>ÖSTERGÖTLANDS LÄN</t>
        </is>
      </c>
      <c r="E2296" t="inlineStr">
        <is>
          <t>YDRE</t>
        </is>
      </c>
      <c r="G2296" t="n">
        <v>2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s="2" t="inlineStr"/>
    </row>
    <row r="2297" ht="15" customHeight="1">
      <c r="A2297" t="inlineStr">
        <is>
          <t>A 32652-2020</t>
        </is>
      </c>
      <c r="B2297" s="1" t="n">
        <v>44019</v>
      </c>
      <c r="C2297" s="1" t="n">
        <v>45211</v>
      </c>
      <c r="D2297" t="inlineStr">
        <is>
          <t>ÖSTERGÖTLANDS LÄN</t>
        </is>
      </c>
      <c r="E2297" t="inlineStr">
        <is>
          <t>FINSPÅNG</t>
        </is>
      </c>
      <c r="G2297" t="n">
        <v>0.5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s="2" t="inlineStr"/>
    </row>
    <row r="2298" ht="15" customHeight="1">
      <c r="A2298" t="inlineStr">
        <is>
          <t>A 32718-2020</t>
        </is>
      </c>
      <c r="B2298" s="1" t="n">
        <v>44019</v>
      </c>
      <c r="C2298" s="1" t="n">
        <v>45211</v>
      </c>
      <c r="D2298" t="inlineStr">
        <is>
          <t>ÖSTERGÖTLANDS LÄN</t>
        </is>
      </c>
      <c r="E2298" t="inlineStr">
        <is>
          <t>LINKÖPING</t>
        </is>
      </c>
      <c r="F2298" t="inlineStr">
        <is>
          <t>Övriga Aktiebolag</t>
        </is>
      </c>
      <c r="G2298" t="n">
        <v>0.6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s="2" t="inlineStr"/>
    </row>
    <row r="2299" ht="15" customHeight="1">
      <c r="A2299" t="inlineStr">
        <is>
          <t>A 32831-2020</t>
        </is>
      </c>
      <c r="B2299" s="1" t="n">
        <v>44020</v>
      </c>
      <c r="C2299" s="1" t="n">
        <v>45211</v>
      </c>
      <c r="D2299" t="inlineStr">
        <is>
          <t>ÖSTERGÖTLANDS LÄN</t>
        </is>
      </c>
      <c r="E2299" t="inlineStr">
        <is>
          <t>YDRE</t>
        </is>
      </c>
      <c r="G2299" t="n">
        <v>1.2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s="2" t="inlineStr"/>
    </row>
    <row r="2300" ht="15" customHeight="1">
      <c r="A2300" t="inlineStr">
        <is>
          <t>A 32923-2020</t>
        </is>
      </c>
      <c r="B2300" s="1" t="n">
        <v>44020</v>
      </c>
      <c r="C2300" s="1" t="n">
        <v>45211</v>
      </c>
      <c r="D2300" t="inlineStr">
        <is>
          <t>ÖSTERGÖTLANDS LÄN</t>
        </is>
      </c>
      <c r="E2300" t="inlineStr">
        <is>
          <t>ÖDESHÖG</t>
        </is>
      </c>
      <c r="G2300" t="n">
        <v>0.9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s="2" t="inlineStr"/>
    </row>
    <row r="2301" ht="15" customHeight="1">
      <c r="A2301" t="inlineStr">
        <is>
          <t>A 32830-2020</t>
        </is>
      </c>
      <c r="B2301" s="1" t="n">
        <v>44020</v>
      </c>
      <c r="C2301" s="1" t="n">
        <v>45211</v>
      </c>
      <c r="D2301" t="inlineStr">
        <is>
          <t>ÖSTERGÖTLANDS LÄN</t>
        </is>
      </c>
      <c r="E2301" t="inlineStr">
        <is>
          <t>YDRE</t>
        </is>
      </c>
      <c r="G2301" t="n">
        <v>1.2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s="2" t="inlineStr"/>
    </row>
    <row r="2302" ht="15" customHeight="1">
      <c r="A2302" t="inlineStr">
        <is>
          <t>A 33148-2020</t>
        </is>
      </c>
      <c r="B2302" s="1" t="n">
        <v>44021</v>
      </c>
      <c r="C2302" s="1" t="n">
        <v>45211</v>
      </c>
      <c r="D2302" t="inlineStr">
        <is>
          <t>ÖSTERGÖTLANDS LÄN</t>
        </is>
      </c>
      <c r="E2302" t="inlineStr">
        <is>
          <t>VALDEMARSVIK</t>
        </is>
      </c>
      <c r="G2302" t="n">
        <v>1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s="2" t="inlineStr"/>
    </row>
    <row r="2303" ht="15" customHeight="1">
      <c r="A2303" t="inlineStr">
        <is>
          <t>A 33240-2020</t>
        </is>
      </c>
      <c r="B2303" s="1" t="n">
        <v>44021</v>
      </c>
      <c r="C2303" s="1" t="n">
        <v>45211</v>
      </c>
      <c r="D2303" t="inlineStr">
        <is>
          <t>ÖSTERGÖTLANDS LÄN</t>
        </is>
      </c>
      <c r="E2303" t="inlineStr">
        <is>
          <t>MOTALA</t>
        </is>
      </c>
      <c r="G2303" t="n">
        <v>5.7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s="2" t="inlineStr"/>
    </row>
    <row r="2304" ht="15" customHeight="1">
      <c r="A2304" t="inlineStr">
        <is>
          <t>A 33297-2020</t>
        </is>
      </c>
      <c r="B2304" s="1" t="n">
        <v>44022</v>
      </c>
      <c r="C2304" s="1" t="n">
        <v>45211</v>
      </c>
      <c r="D2304" t="inlineStr">
        <is>
          <t>ÖSTERGÖTLANDS LÄN</t>
        </is>
      </c>
      <c r="E2304" t="inlineStr">
        <is>
          <t>FINSPÅNG</t>
        </is>
      </c>
      <c r="G2304" t="n">
        <v>2.2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s="2" t="inlineStr"/>
    </row>
    <row r="2305" ht="15" customHeight="1">
      <c r="A2305" t="inlineStr">
        <is>
          <t>A 33225-2020</t>
        </is>
      </c>
      <c r="B2305" s="1" t="n">
        <v>44022</v>
      </c>
      <c r="C2305" s="1" t="n">
        <v>45211</v>
      </c>
      <c r="D2305" t="inlineStr">
        <is>
          <t>ÖSTERGÖTLANDS LÄN</t>
        </is>
      </c>
      <c r="E2305" t="inlineStr">
        <is>
          <t>MOTALA</t>
        </is>
      </c>
      <c r="G2305" t="n">
        <v>4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s="2" t="inlineStr"/>
    </row>
    <row r="2306" ht="15" customHeight="1">
      <c r="A2306" t="inlineStr">
        <is>
          <t>A 33427-2020</t>
        </is>
      </c>
      <c r="B2306" s="1" t="n">
        <v>44022</v>
      </c>
      <c r="C2306" s="1" t="n">
        <v>45211</v>
      </c>
      <c r="D2306" t="inlineStr">
        <is>
          <t>ÖSTERGÖTLANDS LÄN</t>
        </is>
      </c>
      <c r="E2306" t="inlineStr">
        <is>
          <t>LINKÖPING</t>
        </is>
      </c>
      <c r="G2306" t="n">
        <v>2.6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s="2" t="inlineStr"/>
    </row>
    <row r="2307" ht="15" customHeight="1">
      <c r="A2307" t="inlineStr">
        <is>
          <t>A 33475-2020</t>
        </is>
      </c>
      <c r="B2307" s="1" t="n">
        <v>44023</v>
      </c>
      <c r="C2307" s="1" t="n">
        <v>45211</v>
      </c>
      <c r="D2307" t="inlineStr">
        <is>
          <t>ÖSTERGÖTLANDS LÄN</t>
        </is>
      </c>
      <c r="E2307" t="inlineStr">
        <is>
          <t>FINSPÅNG</t>
        </is>
      </c>
      <c r="G2307" t="n">
        <v>1.2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s="2" t="inlineStr"/>
    </row>
    <row r="2308" ht="15" customHeight="1">
      <c r="A2308" t="inlineStr">
        <is>
          <t>A 33590-2020</t>
        </is>
      </c>
      <c r="B2308" s="1" t="n">
        <v>44025</v>
      </c>
      <c r="C2308" s="1" t="n">
        <v>45211</v>
      </c>
      <c r="D2308" t="inlineStr">
        <is>
          <t>ÖSTERGÖTLANDS LÄN</t>
        </is>
      </c>
      <c r="E2308" t="inlineStr">
        <is>
          <t>MJÖLBY</t>
        </is>
      </c>
      <c r="G2308" t="n">
        <v>0.4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s="2" t="inlineStr"/>
    </row>
    <row r="2309" ht="15" customHeight="1">
      <c r="A2309" t="inlineStr">
        <is>
          <t>A 33562-2020</t>
        </is>
      </c>
      <c r="B2309" s="1" t="n">
        <v>44025</v>
      </c>
      <c r="C2309" s="1" t="n">
        <v>45211</v>
      </c>
      <c r="D2309" t="inlineStr">
        <is>
          <t>ÖSTERGÖTLANDS LÄN</t>
        </is>
      </c>
      <c r="E2309" t="inlineStr">
        <is>
          <t>LINKÖPING</t>
        </is>
      </c>
      <c r="G2309" t="n">
        <v>0.5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s="2" t="inlineStr"/>
    </row>
    <row r="2310" ht="15" customHeight="1">
      <c r="A2310" t="inlineStr">
        <is>
          <t>A 33777-2020</t>
        </is>
      </c>
      <c r="B2310" s="1" t="n">
        <v>44026</v>
      </c>
      <c r="C2310" s="1" t="n">
        <v>45211</v>
      </c>
      <c r="D2310" t="inlineStr">
        <is>
          <t>ÖSTERGÖTLANDS LÄN</t>
        </is>
      </c>
      <c r="E2310" t="inlineStr">
        <is>
          <t>KINDA</t>
        </is>
      </c>
      <c r="F2310" t="inlineStr">
        <is>
          <t>Sveaskog</t>
        </is>
      </c>
      <c r="G2310" t="n">
        <v>2.7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s="2" t="inlineStr"/>
    </row>
    <row r="2311" ht="15" customHeight="1">
      <c r="A2311" t="inlineStr">
        <is>
          <t>A 33832-2020</t>
        </is>
      </c>
      <c r="B2311" s="1" t="n">
        <v>44027</v>
      </c>
      <c r="C2311" s="1" t="n">
        <v>45211</v>
      </c>
      <c r="D2311" t="inlineStr">
        <is>
          <t>ÖSTERGÖTLANDS LÄN</t>
        </is>
      </c>
      <c r="E2311" t="inlineStr">
        <is>
          <t>LINKÖPING</t>
        </is>
      </c>
      <c r="G2311" t="n">
        <v>1.1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s="2" t="inlineStr"/>
    </row>
    <row r="2312" ht="15" customHeight="1">
      <c r="A2312" t="inlineStr">
        <is>
          <t>A 33920-2020</t>
        </is>
      </c>
      <c r="B2312" s="1" t="n">
        <v>44027</v>
      </c>
      <c r="C2312" s="1" t="n">
        <v>45211</v>
      </c>
      <c r="D2312" t="inlineStr">
        <is>
          <t>ÖSTERGÖTLANDS LÄN</t>
        </is>
      </c>
      <c r="E2312" t="inlineStr">
        <is>
          <t>MOTALA</t>
        </is>
      </c>
      <c r="G2312" t="n">
        <v>1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s="2" t="inlineStr"/>
    </row>
    <row r="2313" ht="15" customHeight="1">
      <c r="A2313" t="inlineStr">
        <is>
          <t>A 33857-2020</t>
        </is>
      </c>
      <c r="B2313" s="1" t="n">
        <v>44027</v>
      </c>
      <c r="C2313" s="1" t="n">
        <v>45211</v>
      </c>
      <c r="D2313" t="inlineStr">
        <is>
          <t>ÖSTERGÖTLANDS LÄN</t>
        </is>
      </c>
      <c r="E2313" t="inlineStr">
        <is>
          <t>NORRKÖPING</t>
        </is>
      </c>
      <c r="F2313" t="inlineStr">
        <is>
          <t>Allmännings- och besparingsskogar</t>
        </is>
      </c>
      <c r="G2313" t="n">
        <v>5.1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s="2" t="inlineStr"/>
    </row>
    <row r="2314" ht="15" customHeight="1">
      <c r="A2314" t="inlineStr">
        <is>
          <t>A 33906-2020</t>
        </is>
      </c>
      <c r="B2314" s="1" t="n">
        <v>44027</v>
      </c>
      <c r="C2314" s="1" t="n">
        <v>45211</v>
      </c>
      <c r="D2314" t="inlineStr">
        <is>
          <t>ÖSTERGÖTLANDS LÄN</t>
        </is>
      </c>
      <c r="E2314" t="inlineStr">
        <is>
          <t>FINSPÅNG</t>
        </is>
      </c>
      <c r="G2314" t="n">
        <v>0.5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s="2" t="inlineStr"/>
    </row>
    <row r="2315" ht="15" customHeight="1">
      <c r="A2315" t="inlineStr">
        <is>
          <t>A 33918-2020</t>
        </is>
      </c>
      <c r="B2315" s="1" t="n">
        <v>44027</v>
      </c>
      <c r="C2315" s="1" t="n">
        <v>45211</v>
      </c>
      <c r="D2315" t="inlineStr">
        <is>
          <t>ÖSTERGÖTLANDS LÄN</t>
        </is>
      </c>
      <c r="E2315" t="inlineStr">
        <is>
          <t>LINKÖPING</t>
        </is>
      </c>
      <c r="G2315" t="n">
        <v>1.2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s="2" t="inlineStr"/>
    </row>
    <row r="2316" ht="15" customHeight="1">
      <c r="A2316" t="inlineStr">
        <is>
          <t>A 34385-2020</t>
        </is>
      </c>
      <c r="B2316" s="1" t="n">
        <v>44028</v>
      </c>
      <c r="C2316" s="1" t="n">
        <v>45211</v>
      </c>
      <c r="D2316" t="inlineStr">
        <is>
          <t>ÖSTERGÖTLANDS LÄN</t>
        </is>
      </c>
      <c r="E2316" t="inlineStr">
        <is>
          <t>YDRE</t>
        </is>
      </c>
      <c r="G2316" t="n">
        <v>3.1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s="2" t="inlineStr"/>
    </row>
    <row r="2317" ht="15" customHeight="1">
      <c r="A2317" t="inlineStr">
        <is>
          <t>A 34211-2020</t>
        </is>
      </c>
      <c r="B2317" s="1" t="n">
        <v>44029</v>
      </c>
      <c r="C2317" s="1" t="n">
        <v>45211</v>
      </c>
      <c r="D2317" t="inlineStr">
        <is>
          <t>ÖSTERGÖTLANDS LÄN</t>
        </is>
      </c>
      <c r="E2317" t="inlineStr">
        <is>
          <t>YDRE</t>
        </is>
      </c>
      <c r="F2317" t="inlineStr">
        <is>
          <t>Sveaskog</t>
        </is>
      </c>
      <c r="G2317" t="n">
        <v>0.9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s="2" t="inlineStr"/>
    </row>
    <row r="2318" ht="15" customHeight="1">
      <c r="A2318" t="inlineStr">
        <is>
          <t>A 34512-2020</t>
        </is>
      </c>
      <c r="B2318" s="1" t="n">
        <v>44029</v>
      </c>
      <c r="C2318" s="1" t="n">
        <v>45211</v>
      </c>
      <c r="D2318" t="inlineStr">
        <is>
          <t>ÖSTERGÖTLANDS LÄN</t>
        </is>
      </c>
      <c r="E2318" t="inlineStr">
        <is>
          <t>KINDA</t>
        </is>
      </c>
      <c r="G2318" t="n">
        <v>0.5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s="2" t="inlineStr"/>
    </row>
    <row r="2319" ht="15" customHeight="1">
      <c r="A2319" t="inlineStr">
        <is>
          <t>A 34212-2020</t>
        </is>
      </c>
      <c r="B2319" s="1" t="n">
        <v>44029</v>
      </c>
      <c r="C2319" s="1" t="n">
        <v>45211</v>
      </c>
      <c r="D2319" t="inlineStr">
        <is>
          <t>ÖSTERGÖTLANDS LÄN</t>
        </is>
      </c>
      <c r="E2319" t="inlineStr">
        <is>
          <t>YDRE</t>
        </is>
      </c>
      <c r="F2319" t="inlineStr">
        <is>
          <t>Sveaskog</t>
        </is>
      </c>
      <c r="G2319" t="n">
        <v>1.4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s="2" t="inlineStr"/>
    </row>
    <row r="2320" ht="15" customHeight="1">
      <c r="A2320" t="inlineStr">
        <is>
          <t>A 34239-2020</t>
        </is>
      </c>
      <c r="B2320" s="1" t="n">
        <v>44029</v>
      </c>
      <c r="C2320" s="1" t="n">
        <v>45211</v>
      </c>
      <c r="D2320" t="inlineStr">
        <is>
          <t>ÖSTERGÖTLANDS LÄN</t>
        </is>
      </c>
      <c r="E2320" t="inlineStr">
        <is>
          <t>VALDEMARSVIK</t>
        </is>
      </c>
      <c r="G2320" t="n">
        <v>1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s="2" t="inlineStr"/>
    </row>
    <row r="2321" ht="15" customHeight="1">
      <c r="A2321" t="inlineStr">
        <is>
          <t>A 34250-2020</t>
        </is>
      </c>
      <c r="B2321" s="1" t="n">
        <v>44029</v>
      </c>
      <c r="C2321" s="1" t="n">
        <v>45211</v>
      </c>
      <c r="D2321" t="inlineStr">
        <is>
          <t>ÖSTERGÖTLANDS LÄN</t>
        </is>
      </c>
      <c r="E2321" t="inlineStr">
        <is>
          <t>NORRKÖPING</t>
        </is>
      </c>
      <c r="F2321" t="inlineStr">
        <is>
          <t>Allmännings- och besparingsskogar</t>
        </is>
      </c>
      <c r="G2321" t="n">
        <v>1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s="2" t="inlineStr"/>
    </row>
    <row r="2322" ht="15" customHeight="1">
      <c r="A2322" t="inlineStr">
        <is>
          <t>A 34448-2020</t>
        </is>
      </c>
      <c r="B2322" s="1" t="n">
        <v>44029</v>
      </c>
      <c r="C2322" s="1" t="n">
        <v>45211</v>
      </c>
      <c r="D2322" t="inlineStr">
        <is>
          <t>ÖSTERGÖTLANDS LÄN</t>
        </is>
      </c>
      <c r="E2322" t="inlineStr">
        <is>
          <t>LINKÖPING</t>
        </is>
      </c>
      <c r="F2322" t="inlineStr">
        <is>
          <t>Övriga statliga verk och myndigheter</t>
        </is>
      </c>
      <c r="G2322" t="n">
        <v>1.2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s="2" t="inlineStr"/>
    </row>
    <row r="2323" ht="15" customHeight="1">
      <c r="A2323" t="inlineStr">
        <is>
          <t>A 34213-2020</t>
        </is>
      </c>
      <c r="B2323" s="1" t="n">
        <v>44029</v>
      </c>
      <c r="C2323" s="1" t="n">
        <v>45211</v>
      </c>
      <c r="D2323" t="inlineStr">
        <is>
          <t>ÖSTERGÖTLANDS LÄN</t>
        </is>
      </c>
      <c r="E2323" t="inlineStr">
        <is>
          <t>YDRE</t>
        </is>
      </c>
      <c r="F2323" t="inlineStr">
        <is>
          <t>Sveaskog</t>
        </is>
      </c>
      <c r="G2323" t="n">
        <v>1.3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s="2" t="inlineStr"/>
    </row>
    <row r="2324" ht="15" customHeight="1">
      <c r="A2324" t="inlineStr">
        <is>
          <t>A 34234-2020</t>
        </is>
      </c>
      <c r="B2324" s="1" t="n">
        <v>44029</v>
      </c>
      <c r="C2324" s="1" t="n">
        <v>45211</v>
      </c>
      <c r="D2324" t="inlineStr">
        <is>
          <t>ÖSTERGÖTLANDS LÄN</t>
        </is>
      </c>
      <c r="E2324" t="inlineStr">
        <is>
          <t>VALDEMARSVIK</t>
        </is>
      </c>
      <c r="G2324" t="n">
        <v>9.4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s="2" t="inlineStr"/>
    </row>
    <row r="2325" ht="15" customHeight="1">
      <c r="A2325" t="inlineStr">
        <is>
          <t>A 34621-2020</t>
        </is>
      </c>
      <c r="B2325" s="1" t="n">
        <v>44033</v>
      </c>
      <c r="C2325" s="1" t="n">
        <v>45211</v>
      </c>
      <c r="D2325" t="inlineStr">
        <is>
          <t>ÖSTERGÖTLANDS LÄN</t>
        </is>
      </c>
      <c r="E2325" t="inlineStr">
        <is>
          <t>LINKÖPING</t>
        </is>
      </c>
      <c r="G2325" t="n">
        <v>2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s="2" t="inlineStr"/>
    </row>
    <row r="2326" ht="15" customHeight="1">
      <c r="A2326" t="inlineStr">
        <is>
          <t>A 34622-2020</t>
        </is>
      </c>
      <c r="B2326" s="1" t="n">
        <v>44034</v>
      </c>
      <c r="C2326" s="1" t="n">
        <v>45211</v>
      </c>
      <c r="D2326" t="inlineStr">
        <is>
          <t>ÖSTERGÖTLANDS LÄN</t>
        </is>
      </c>
      <c r="E2326" t="inlineStr">
        <is>
          <t>LINKÖPING</t>
        </is>
      </c>
      <c r="G2326" t="n">
        <v>2.7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s="2" t="inlineStr"/>
    </row>
    <row r="2327" ht="15" customHeight="1">
      <c r="A2327" t="inlineStr">
        <is>
          <t>A 34638-2020</t>
        </is>
      </c>
      <c r="B2327" s="1" t="n">
        <v>44034</v>
      </c>
      <c r="C2327" s="1" t="n">
        <v>45211</v>
      </c>
      <c r="D2327" t="inlineStr">
        <is>
          <t>ÖSTERGÖTLANDS LÄN</t>
        </is>
      </c>
      <c r="E2327" t="inlineStr">
        <is>
          <t>KINDA</t>
        </is>
      </c>
      <c r="G2327" t="n">
        <v>2.8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s="2" t="inlineStr"/>
    </row>
    <row r="2328" ht="15" customHeight="1">
      <c r="A2328" t="inlineStr">
        <is>
          <t>A 34718-2020</t>
        </is>
      </c>
      <c r="B2328" s="1" t="n">
        <v>44035</v>
      </c>
      <c r="C2328" s="1" t="n">
        <v>45211</v>
      </c>
      <c r="D2328" t="inlineStr">
        <is>
          <t>ÖSTERGÖTLANDS LÄN</t>
        </is>
      </c>
      <c r="E2328" t="inlineStr">
        <is>
          <t>LINKÖPING</t>
        </is>
      </c>
      <c r="G2328" t="n">
        <v>1.8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s="2" t="inlineStr"/>
    </row>
    <row r="2329" ht="15" customHeight="1">
      <c r="A2329" t="inlineStr">
        <is>
          <t>A 34828-2020</t>
        </is>
      </c>
      <c r="B2329" s="1" t="n">
        <v>44036</v>
      </c>
      <c r="C2329" s="1" t="n">
        <v>45211</v>
      </c>
      <c r="D2329" t="inlineStr">
        <is>
          <t>ÖSTERGÖTLANDS LÄN</t>
        </is>
      </c>
      <c r="E2329" t="inlineStr">
        <is>
          <t>BOXHOLM</t>
        </is>
      </c>
      <c r="F2329" t="inlineStr">
        <is>
          <t>Kyrkan</t>
        </is>
      </c>
      <c r="G2329" t="n">
        <v>10.4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s="2" t="inlineStr"/>
    </row>
    <row r="2330" ht="15" customHeight="1">
      <c r="A2330" t="inlineStr">
        <is>
          <t>A 34839-2020</t>
        </is>
      </c>
      <c r="B2330" s="1" t="n">
        <v>44036</v>
      </c>
      <c r="C2330" s="1" t="n">
        <v>45211</v>
      </c>
      <c r="D2330" t="inlineStr">
        <is>
          <t>ÖSTERGÖTLANDS LÄN</t>
        </is>
      </c>
      <c r="E2330" t="inlineStr">
        <is>
          <t>BOXHOLM</t>
        </is>
      </c>
      <c r="F2330" t="inlineStr">
        <is>
          <t>Kyrkan</t>
        </is>
      </c>
      <c r="G2330" t="n">
        <v>5.9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s="2" t="inlineStr"/>
    </row>
    <row r="2331" ht="15" customHeight="1">
      <c r="A2331" t="inlineStr">
        <is>
          <t>A 34872-2020</t>
        </is>
      </c>
      <c r="B2331" s="1" t="n">
        <v>44036</v>
      </c>
      <c r="C2331" s="1" t="n">
        <v>45211</v>
      </c>
      <c r="D2331" t="inlineStr">
        <is>
          <t>ÖSTERGÖTLANDS LÄN</t>
        </is>
      </c>
      <c r="E2331" t="inlineStr">
        <is>
          <t>ÅTVIDABERG</t>
        </is>
      </c>
      <c r="G2331" t="n">
        <v>2.9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s="2" t="inlineStr"/>
    </row>
    <row r="2332" ht="15" customHeight="1">
      <c r="A2332" t="inlineStr">
        <is>
          <t>A 34880-2020</t>
        </is>
      </c>
      <c r="B2332" s="1" t="n">
        <v>44036</v>
      </c>
      <c r="C2332" s="1" t="n">
        <v>45211</v>
      </c>
      <c r="D2332" t="inlineStr">
        <is>
          <t>ÖSTERGÖTLANDS LÄN</t>
        </is>
      </c>
      <c r="E2332" t="inlineStr">
        <is>
          <t>FINSPÅNG</t>
        </is>
      </c>
      <c r="F2332" t="inlineStr">
        <is>
          <t>Holmen skog AB</t>
        </is>
      </c>
      <c r="G2332" t="n">
        <v>2.1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s="2" t="inlineStr"/>
    </row>
    <row r="2333" ht="15" customHeight="1">
      <c r="A2333" t="inlineStr">
        <is>
          <t>A 35027-2020</t>
        </is>
      </c>
      <c r="B2333" s="1" t="n">
        <v>44039</v>
      </c>
      <c r="C2333" s="1" t="n">
        <v>45211</v>
      </c>
      <c r="D2333" t="inlineStr">
        <is>
          <t>ÖSTERGÖTLANDS LÄN</t>
        </is>
      </c>
      <c r="E2333" t="inlineStr">
        <is>
          <t>MOTALA</t>
        </is>
      </c>
      <c r="F2333" t="inlineStr">
        <is>
          <t>Sveaskog</t>
        </is>
      </c>
      <c r="G2333" t="n">
        <v>2.1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s="2" t="inlineStr"/>
    </row>
    <row r="2334" ht="15" customHeight="1">
      <c r="A2334" t="inlineStr">
        <is>
          <t>A 35063-2020</t>
        </is>
      </c>
      <c r="B2334" s="1" t="n">
        <v>44039</v>
      </c>
      <c r="C2334" s="1" t="n">
        <v>45211</v>
      </c>
      <c r="D2334" t="inlineStr">
        <is>
          <t>ÖSTERGÖTLANDS LÄN</t>
        </is>
      </c>
      <c r="E2334" t="inlineStr">
        <is>
          <t>KINDA</t>
        </is>
      </c>
      <c r="G2334" t="n">
        <v>0.9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s="2" t="inlineStr"/>
    </row>
    <row r="2335" ht="15" customHeight="1">
      <c r="A2335" t="inlineStr">
        <is>
          <t>A 35004-2020</t>
        </is>
      </c>
      <c r="B2335" s="1" t="n">
        <v>44039</v>
      </c>
      <c r="C2335" s="1" t="n">
        <v>45211</v>
      </c>
      <c r="D2335" t="inlineStr">
        <is>
          <t>ÖSTERGÖTLANDS LÄN</t>
        </is>
      </c>
      <c r="E2335" t="inlineStr">
        <is>
          <t>YDRE</t>
        </is>
      </c>
      <c r="G2335" t="n">
        <v>1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s="2" t="inlineStr"/>
    </row>
    <row r="2336" ht="15" customHeight="1">
      <c r="A2336" t="inlineStr">
        <is>
          <t>A 35050-2020</t>
        </is>
      </c>
      <c r="B2336" s="1" t="n">
        <v>44039</v>
      </c>
      <c r="C2336" s="1" t="n">
        <v>45211</v>
      </c>
      <c r="D2336" t="inlineStr">
        <is>
          <t>ÖSTERGÖTLANDS LÄN</t>
        </is>
      </c>
      <c r="E2336" t="inlineStr">
        <is>
          <t>FINSPÅNG</t>
        </is>
      </c>
      <c r="F2336" t="inlineStr">
        <is>
          <t>Holmen skog AB</t>
        </is>
      </c>
      <c r="G2336" t="n">
        <v>0.9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s="2" t="inlineStr"/>
    </row>
    <row r="2337" ht="15" customHeight="1">
      <c r="A2337" t="inlineStr">
        <is>
          <t>A 35065-2020</t>
        </is>
      </c>
      <c r="B2337" s="1" t="n">
        <v>44039</v>
      </c>
      <c r="C2337" s="1" t="n">
        <v>45211</v>
      </c>
      <c r="D2337" t="inlineStr">
        <is>
          <t>ÖSTERGÖTLANDS LÄN</t>
        </is>
      </c>
      <c r="E2337" t="inlineStr">
        <is>
          <t>KINDA</t>
        </is>
      </c>
      <c r="G2337" t="n">
        <v>2.6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s="2" t="inlineStr"/>
    </row>
    <row r="2338" ht="15" customHeight="1">
      <c r="A2338" t="inlineStr">
        <is>
          <t>A 35324-2020</t>
        </is>
      </c>
      <c r="B2338" s="1" t="n">
        <v>44041</v>
      </c>
      <c r="C2338" s="1" t="n">
        <v>45211</v>
      </c>
      <c r="D2338" t="inlineStr">
        <is>
          <t>ÖSTERGÖTLANDS LÄN</t>
        </is>
      </c>
      <c r="E2338" t="inlineStr">
        <is>
          <t>LINKÖPING</t>
        </is>
      </c>
      <c r="G2338" t="n">
        <v>3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s="2" t="inlineStr"/>
    </row>
    <row r="2339" ht="15" customHeight="1">
      <c r="A2339" t="inlineStr">
        <is>
          <t>A 35751-2020</t>
        </is>
      </c>
      <c r="B2339" s="1" t="n">
        <v>44046</v>
      </c>
      <c r="C2339" s="1" t="n">
        <v>45211</v>
      </c>
      <c r="D2339" t="inlineStr">
        <is>
          <t>ÖSTERGÖTLANDS LÄN</t>
        </is>
      </c>
      <c r="E2339" t="inlineStr">
        <is>
          <t>ÖDESHÖG</t>
        </is>
      </c>
      <c r="G2339" t="n">
        <v>0.4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s="2" t="inlineStr"/>
    </row>
    <row r="2340" ht="15" customHeight="1">
      <c r="A2340" t="inlineStr">
        <is>
          <t>A 35820-2020</t>
        </is>
      </c>
      <c r="B2340" s="1" t="n">
        <v>44047</v>
      </c>
      <c r="C2340" s="1" t="n">
        <v>45211</v>
      </c>
      <c r="D2340" t="inlineStr">
        <is>
          <t>ÖSTERGÖTLANDS LÄN</t>
        </is>
      </c>
      <c r="E2340" t="inlineStr">
        <is>
          <t>MOTALA</t>
        </is>
      </c>
      <c r="G2340" t="n">
        <v>2.9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s="2" t="inlineStr"/>
    </row>
    <row r="2341" ht="15" customHeight="1">
      <c r="A2341" t="inlineStr">
        <is>
          <t>A 35989-2020</t>
        </is>
      </c>
      <c r="B2341" s="1" t="n">
        <v>44047</v>
      </c>
      <c r="C2341" s="1" t="n">
        <v>45211</v>
      </c>
      <c r="D2341" t="inlineStr">
        <is>
          <t>ÖSTERGÖTLANDS LÄN</t>
        </is>
      </c>
      <c r="E2341" t="inlineStr">
        <is>
          <t>KINDA</t>
        </is>
      </c>
      <c r="F2341" t="inlineStr">
        <is>
          <t>Kyrkan</t>
        </is>
      </c>
      <c r="G2341" t="n">
        <v>3.2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s="2" t="inlineStr"/>
    </row>
    <row r="2342" ht="15" customHeight="1">
      <c r="A2342" t="inlineStr">
        <is>
          <t>A 36237-2020</t>
        </is>
      </c>
      <c r="B2342" s="1" t="n">
        <v>44048</v>
      </c>
      <c r="C2342" s="1" t="n">
        <v>45211</v>
      </c>
      <c r="D2342" t="inlineStr">
        <is>
          <t>ÖSTERGÖTLANDS LÄN</t>
        </is>
      </c>
      <c r="E2342" t="inlineStr">
        <is>
          <t>NORRKÖPING</t>
        </is>
      </c>
      <c r="G2342" t="n">
        <v>7.2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s="2" t="inlineStr"/>
    </row>
    <row r="2343" ht="15" customHeight="1">
      <c r="A2343" t="inlineStr">
        <is>
          <t>A 36255-2020</t>
        </is>
      </c>
      <c r="B2343" s="1" t="n">
        <v>44049</v>
      </c>
      <c r="C2343" s="1" t="n">
        <v>45211</v>
      </c>
      <c r="D2343" t="inlineStr">
        <is>
          <t>ÖSTERGÖTLANDS LÄN</t>
        </is>
      </c>
      <c r="E2343" t="inlineStr">
        <is>
          <t>YDRE</t>
        </is>
      </c>
      <c r="G2343" t="n">
        <v>6.2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s="2" t="inlineStr"/>
    </row>
    <row r="2344" ht="15" customHeight="1">
      <c r="A2344" t="inlineStr">
        <is>
          <t>A 36274-2020</t>
        </is>
      </c>
      <c r="B2344" s="1" t="n">
        <v>44049</v>
      </c>
      <c r="C2344" s="1" t="n">
        <v>45211</v>
      </c>
      <c r="D2344" t="inlineStr">
        <is>
          <t>ÖSTERGÖTLANDS LÄN</t>
        </is>
      </c>
      <c r="E2344" t="inlineStr">
        <is>
          <t>LINKÖPING</t>
        </is>
      </c>
      <c r="G2344" t="n">
        <v>2.2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s="2" t="inlineStr"/>
    </row>
    <row r="2345" ht="15" customHeight="1">
      <c r="A2345" t="inlineStr">
        <is>
          <t>A 36286-2020</t>
        </is>
      </c>
      <c r="B2345" s="1" t="n">
        <v>44049</v>
      </c>
      <c r="C2345" s="1" t="n">
        <v>45211</v>
      </c>
      <c r="D2345" t="inlineStr">
        <is>
          <t>ÖSTERGÖTLANDS LÄN</t>
        </is>
      </c>
      <c r="E2345" t="inlineStr">
        <is>
          <t>ÅTVIDABERG</t>
        </is>
      </c>
      <c r="G2345" t="n">
        <v>2.9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s="2" t="inlineStr"/>
    </row>
    <row r="2346" ht="15" customHeight="1">
      <c r="A2346" t="inlineStr">
        <is>
          <t>A 36309-2020</t>
        </is>
      </c>
      <c r="B2346" s="1" t="n">
        <v>44049</v>
      </c>
      <c r="C2346" s="1" t="n">
        <v>45211</v>
      </c>
      <c r="D2346" t="inlineStr">
        <is>
          <t>ÖSTERGÖTLANDS LÄN</t>
        </is>
      </c>
      <c r="E2346" t="inlineStr">
        <is>
          <t>ÅTVIDABERG</t>
        </is>
      </c>
      <c r="G2346" t="n">
        <v>4.6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s="2" t="inlineStr"/>
    </row>
    <row r="2347" ht="15" customHeight="1">
      <c r="A2347" t="inlineStr">
        <is>
          <t>A 36423-2020</t>
        </is>
      </c>
      <c r="B2347" s="1" t="n">
        <v>44049</v>
      </c>
      <c r="C2347" s="1" t="n">
        <v>45211</v>
      </c>
      <c r="D2347" t="inlineStr">
        <is>
          <t>ÖSTERGÖTLANDS LÄN</t>
        </is>
      </c>
      <c r="E2347" t="inlineStr">
        <is>
          <t>YDRE</t>
        </is>
      </c>
      <c r="G2347" t="n">
        <v>1.6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s="2" t="inlineStr"/>
    </row>
    <row r="2348" ht="15" customHeight="1">
      <c r="A2348" t="inlineStr">
        <is>
          <t>A 36417-2020</t>
        </is>
      </c>
      <c r="B2348" s="1" t="n">
        <v>44049</v>
      </c>
      <c r="C2348" s="1" t="n">
        <v>45211</v>
      </c>
      <c r="D2348" t="inlineStr">
        <is>
          <t>ÖSTERGÖTLANDS LÄN</t>
        </is>
      </c>
      <c r="E2348" t="inlineStr">
        <is>
          <t>KINDA</t>
        </is>
      </c>
      <c r="G2348" t="n">
        <v>1.2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s="2" t="inlineStr"/>
    </row>
    <row r="2349" ht="15" customHeight="1">
      <c r="A2349" t="inlineStr">
        <is>
          <t>A 36425-2020</t>
        </is>
      </c>
      <c r="B2349" s="1" t="n">
        <v>44049</v>
      </c>
      <c r="C2349" s="1" t="n">
        <v>45211</v>
      </c>
      <c r="D2349" t="inlineStr">
        <is>
          <t>ÖSTERGÖTLANDS LÄN</t>
        </is>
      </c>
      <c r="E2349" t="inlineStr">
        <is>
          <t>YDRE</t>
        </is>
      </c>
      <c r="G2349" t="n">
        <v>3.5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s="2" t="inlineStr"/>
    </row>
    <row r="2350" ht="15" customHeight="1">
      <c r="A2350" t="inlineStr">
        <is>
          <t>A 36557-2020</t>
        </is>
      </c>
      <c r="B2350" s="1" t="n">
        <v>44050</v>
      </c>
      <c r="C2350" s="1" t="n">
        <v>45211</v>
      </c>
      <c r="D2350" t="inlineStr">
        <is>
          <t>ÖSTERGÖTLANDS LÄN</t>
        </is>
      </c>
      <c r="E2350" t="inlineStr">
        <is>
          <t>ÅTVIDABERG</t>
        </is>
      </c>
      <c r="G2350" t="n">
        <v>0.8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s="2" t="inlineStr"/>
    </row>
    <row r="2351" ht="15" customHeight="1">
      <c r="A2351" t="inlineStr">
        <is>
          <t>A 36779-2020</t>
        </is>
      </c>
      <c r="B2351" s="1" t="n">
        <v>44053</v>
      </c>
      <c r="C2351" s="1" t="n">
        <v>45211</v>
      </c>
      <c r="D2351" t="inlineStr">
        <is>
          <t>ÖSTERGÖTLANDS LÄN</t>
        </is>
      </c>
      <c r="E2351" t="inlineStr">
        <is>
          <t>NORRKÖPING</t>
        </is>
      </c>
      <c r="G2351" t="n">
        <v>0.7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s="2" t="inlineStr"/>
    </row>
    <row r="2352" ht="15" customHeight="1">
      <c r="A2352" t="inlineStr">
        <is>
          <t>A 36832-2020</t>
        </is>
      </c>
      <c r="B2352" s="1" t="n">
        <v>44053</v>
      </c>
      <c r="C2352" s="1" t="n">
        <v>45211</v>
      </c>
      <c r="D2352" t="inlineStr">
        <is>
          <t>ÖSTERGÖTLANDS LÄN</t>
        </is>
      </c>
      <c r="E2352" t="inlineStr">
        <is>
          <t>KINDA</t>
        </is>
      </c>
      <c r="G2352" t="n">
        <v>6.6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s="2" t="inlineStr"/>
    </row>
    <row r="2353" ht="15" customHeight="1">
      <c r="A2353" t="inlineStr">
        <is>
          <t>A 36920-2020</t>
        </is>
      </c>
      <c r="B2353" s="1" t="n">
        <v>44053</v>
      </c>
      <c r="C2353" s="1" t="n">
        <v>45211</v>
      </c>
      <c r="D2353" t="inlineStr">
        <is>
          <t>ÖSTERGÖTLANDS LÄN</t>
        </is>
      </c>
      <c r="E2353" t="inlineStr">
        <is>
          <t>FINSPÅNG</t>
        </is>
      </c>
      <c r="F2353" t="inlineStr">
        <is>
          <t>Holmen skog AB</t>
        </is>
      </c>
      <c r="G2353" t="n">
        <v>0.5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s="2" t="inlineStr"/>
    </row>
    <row r="2354" ht="15" customHeight="1">
      <c r="A2354" t="inlineStr">
        <is>
          <t>A 36772-2020</t>
        </is>
      </c>
      <c r="B2354" s="1" t="n">
        <v>44053</v>
      </c>
      <c r="C2354" s="1" t="n">
        <v>45211</v>
      </c>
      <c r="D2354" t="inlineStr">
        <is>
          <t>ÖSTERGÖTLANDS LÄN</t>
        </is>
      </c>
      <c r="E2354" t="inlineStr">
        <is>
          <t>SÖDERKÖPING</t>
        </is>
      </c>
      <c r="G2354" t="n">
        <v>2.8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s="2" t="inlineStr"/>
    </row>
    <row r="2355" ht="15" customHeight="1">
      <c r="A2355" t="inlineStr">
        <is>
          <t>A 36887-2020</t>
        </is>
      </c>
      <c r="B2355" s="1" t="n">
        <v>44053</v>
      </c>
      <c r="C2355" s="1" t="n">
        <v>45211</v>
      </c>
      <c r="D2355" t="inlineStr">
        <is>
          <t>ÖSTERGÖTLANDS LÄN</t>
        </is>
      </c>
      <c r="E2355" t="inlineStr">
        <is>
          <t>BOXHOLM</t>
        </is>
      </c>
      <c r="G2355" t="n">
        <v>7.2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s="2" t="inlineStr"/>
    </row>
    <row r="2356" ht="15" customHeight="1">
      <c r="A2356" t="inlineStr">
        <is>
          <t>A 36775-2020</t>
        </is>
      </c>
      <c r="B2356" s="1" t="n">
        <v>44053</v>
      </c>
      <c r="C2356" s="1" t="n">
        <v>45211</v>
      </c>
      <c r="D2356" t="inlineStr">
        <is>
          <t>ÖSTERGÖTLANDS LÄN</t>
        </is>
      </c>
      <c r="E2356" t="inlineStr">
        <is>
          <t>SÖDERKÖPING</t>
        </is>
      </c>
      <c r="G2356" t="n">
        <v>0.8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s="2" t="inlineStr"/>
    </row>
    <row r="2357" ht="15" customHeight="1">
      <c r="A2357" t="inlineStr">
        <is>
          <t>A 36784-2020</t>
        </is>
      </c>
      <c r="B2357" s="1" t="n">
        <v>44053</v>
      </c>
      <c r="C2357" s="1" t="n">
        <v>45211</v>
      </c>
      <c r="D2357" t="inlineStr">
        <is>
          <t>ÖSTERGÖTLANDS LÄN</t>
        </is>
      </c>
      <c r="E2357" t="inlineStr">
        <is>
          <t>FINSPÅNG</t>
        </is>
      </c>
      <c r="F2357" t="inlineStr">
        <is>
          <t>Holmen skog AB</t>
        </is>
      </c>
      <c r="G2357" t="n">
        <v>0.8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s="2" t="inlineStr"/>
    </row>
    <row r="2358" ht="15" customHeight="1">
      <c r="A2358" t="inlineStr">
        <is>
          <t>A 36924-2020</t>
        </is>
      </c>
      <c r="B2358" s="1" t="n">
        <v>44053</v>
      </c>
      <c r="C2358" s="1" t="n">
        <v>45211</v>
      </c>
      <c r="D2358" t="inlineStr">
        <is>
          <t>ÖSTERGÖTLANDS LÄN</t>
        </is>
      </c>
      <c r="E2358" t="inlineStr">
        <is>
          <t>FINSPÅNG</t>
        </is>
      </c>
      <c r="F2358" t="inlineStr">
        <is>
          <t>Holmen skog AB</t>
        </is>
      </c>
      <c r="G2358" t="n">
        <v>0.8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s="2" t="inlineStr"/>
    </row>
    <row r="2359" ht="15" customHeight="1">
      <c r="A2359" t="inlineStr">
        <is>
          <t>A 36763-2020</t>
        </is>
      </c>
      <c r="B2359" s="1" t="n">
        <v>44053</v>
      </c>
      <c r="C2359" s="1" t="n">
        <v>45211</v>
      </c>
      <c r="D2359" t="inlineStr">
        <is>
          <t>ÖSTERGÖTLANDS LÄN</t>
        </is>
      </c>
      <c r="E2359" t="inlineStr">
        <is>
          <t>SÖDERKÖPING</t>
        </is>
      </c>
      <c r="G2359" t="n">
        <v>1.4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s="2" t="inlineStr"/>
    </row>
    <row r="2360" ht="15" customHeight="1">
      <c r="A2360" t="inlineStr">
        <is>
          <t>A 36812-2020</t>
        </is>
      </c>
      <c r="B2360" s="1" t="n">
        <v>44053</v>
      </c>
      <c r="C2360" s="1" t="n">
        <v>45211</v>
      </c>
      <c r="D2360" t="inlineStr">
        <is>
          <t>ÖSTERGÖTLANDS LÄN</t>
        </is>
      </c>
      <c r="E2360" t="inlineStr">
        <is>
          <t>VALDEMARSVIK</t>
        </is>
      </c>
      <c r="G2360" t="n">
        <v>1.1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s="2" t="inlineStr"/>
    </row>
    <row r="2361" ht="15" customHeight="1">
      <c r="A2361" t="inlineStr">
        <is>
          <t>A 36855-2020</t>
        </is>
      </c>
      <c r="B2361" s="1" t="n">
        <v>44053</v>
      </c>
      <c r="C2361" s="1" t="n">
        <v>45211</v>
      </c>
      <c r="D2361" t="inlineStr">
        <is>
          <t>ÖSTERGÖTLANDS LÄN</t>
        </is>
      </c>
      <c r="E2361" t="inlineStr">
        <is>
          <t>SÖDERKÖPING</t>
        </is>
      </c>
      <c r="G2361" t="n">
        <v>3.8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s="2" t="inlineStr"/>
    </row>
    <row r="2362" ht="15" customHeight="1">
      <c r="A2362" t="inlineStr">
        <is>
          <t>A 36925-2020</t>
        </is>
      </c>
      <c r="B2362" s="1" t="n">
        <v>44053</v>
      </c>
      <c r="C2362" s="1" t="n">
        <v>45211</v>
      </c>
      <c r="D2362" t="inlineStr">
        <is>
          <t>ÖSTERGÖTLANDS LÄN</t>
        </is>
      </c>
      <c r="E2362" t="inlineStr">
        <is>
          <t>FINSPÅNG</t>
        </is>
      </c>
      <c r="F2362" t="inlineStr">
        <is>
          <t>Holmen skog AB</t>
        </is>
      </c>
      <c r="G2362" t="n">
        <v>0.5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s="2" t="inlineStr"/>
    </row>
    <row r="2363" ht="15" customHeight="1">
      <c r="A2363" t="inlineStr">
        <is>
          <t>A 37432-2020</t>
        </is>
      </c>
      <c r="B2363" s="1" t="n">
        <v>44055</v>
      </c>
      <c r="C2363" s="1" t="n">
        <v>45211</v>
      </c>
      <c r="D2363" t="inlineStr">
        <is>
          <t>ÖSTERGÖTLANDS LÄN</t>
        </is>
      </c>
      <c r="E2363" t="inlineStr">
        <is>
          <t>LINKÖPING</t>
        </is>
      </c>
      <c r="F2363" t="inlineStr">
        <is>
          <t>Kyrkan</t>
        </is>
      </c>
      <c r="G2363" t="n">
        <v>2.2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s="2" t="inlineStr"/>
    </row>
    <row r="2364" ht="15" customHeight="1">
      <c r="A2364" t="inlineStr">
        <is>
          <t>A 37290-2020</t>
        </is>
      </c>
      <c r="B2364" s="1" t="n">
        <v>44055</v>
      </c>
      <c r="C2364" s="1" t="n">
        <v>45211</v>
      </c>
      <c r="D2364" t="inlineStr">
        <is>
          <t>ÖSTERGÖTLANDS LÄN</t>
        </is>
      </c>
      <c r="E2364" t="inlineStr">
        <is>
          <t>FINSPÅNG</t>
        </is>
      </c>
      <c r="G2364" t="n">
        <v>1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s="2" t="inlineStr"/>
    </row>
    <row r="2365" ht="15" customHeight="1">
      <c r="A2365" t="inlineStr">
        <is>
          <t>A 37294-2020</t>
        </is>
      </c>
      <c r="B2365" s="1" t="n">
        <v>44055</v>
      </c>
      <c r="C2365" s="1" t="n">
        <v>45211</v>
      </c>
      <c r="D2365" t="inlineStr">
        <is>
          <t>ÖSTERGÖTLANDS LÄN</t>
        </is>
      </c>
      <c r="E2365" t="inlineStr">
        <is>
          <t>FINSPÅNG</t>
        </is>
      </c>
      <c r="G2365" t="n">
        <v>0.5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s="2" t="inlineStr"/>
    </row>
    <row r="2366" ht="15" customHeight="1">
      <c r="A2366" t="inlineStr">
        <is>
          <t>A 37524-2020</t>
        </is>
      </c>
      <c r="B2366" s="1" t="n">
        <v>44055</v>
      </c>
      <c r="C2366" s="1" t="n">
        <v>45211</v>
      </c>
      <c r="D2366" t="inlineStr">
        <is>
          <t>ÖSTERGÖTLANDS LÄN</t>
        </is>
      </c>
      <c r="E2366" t="inlineStr">
        <is>
          <t>NORRKÖPING</t>
        </is>
      </c>
      <c r="F2366" t="inlineStr">
        <is>
          <t>Allmännings- och besparingsskogar</t>
        </is>
      </c>
      <c r="G2366" t="n">
        <v>0.9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s="2" t="inlineStr"/>
    </row>
    <row r="2367" ht="15" customHeight="1">
      <c r="A2367" t="inlineStr">
        <is>
          <t>A 37529-2020</t>
        </is>
      </c>
      <c r="B2367" s="1" t="n">
        <v>44056</v>
      </c>
      <c r="C2367" s="1" t="n">
        <v>45211</v>
      </c>
      <c r="D2367" t="inlineStr">
        <is>
          <t>ÖSTERGÖTLANDS LÄN</t>
        </is>
      </c>
      <c r="E2367" t="inlineStr">
        <is>
          <t>FINSPÅNG</t>
        </is>
      </c>
      <c r="G2367" t="n">
        <v>1.6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s="2" t="inlineStr"/>
    </row>
    <row r="2368" ht="15" customHeight="1">
      <c r="A2368" t="inlineStr">
        <is>
          <t>A 37528-2020</t>
        </is>
      </c>
      <c r="B2368" s="1" t="n">
        <v>44056</v>
      </c>
      <c r="C2368" s="1" t="n">
        <v>45211</v>
      </c>
      <c r="D2368" t="inlineStr">
        <is>
          <t>ÖSTERGÖTLANDS LÄN</t>
        </is>
      </c>
      <c r="E2368" t="inlineStr">
        <is>
          <t>FINSPÅNG</t>
        </is>
      </c>
      <c r="G2368" t="n">
        <v>0.7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s="2" t="inlineStr"/>
    </row>
    <row r="2369" ht="15" customHeight="1">
      <c r="A2369" t="inlineStr">
        <is>
          <t>A 37714-2020</t>
        </is>
      </c>
      <c r="B2369" s="1" t="n">
        <v>44056</v>
      </c>
      <c r="C2369" s="1" t="n">
        <v>45211</v>
      </c>
      <c r="D2369" t="inlineStr">
        <is>
          <t>ÖSTERGÖTLANDS LÄN</t>
        </is>
      </c>
      <c r="E2369" t="inlineStr">
        <is>
          <t>BOXHOLM</t>
        </is>
      </c>
      <c r="F2369" t="inlineStr">
        <is>
          <t>Övriga Aktiebolag</t>
        </is>
      </c>
      <c r="G2369" t="n">
        <v>3.2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s="2" t="inlineStr"/>
    </row>
    <row r="2370" ht="15" customHeight="1">
      <c r="A2370" t="inlineStr">
        <is>
          <t>A 37771-2020</t>
        </is>
      </c>
      <c r="B2370" s="1" t="n">
        <v>44056</v>
      </c>
      <c r="C2370" s="1" t="n">
        <v>45211</v>
      </c>
      <c r="D2370" t="inlineStr">
        <is>
          <t>ÖSTERGÖTLANDS LÄN</t>
        </is>
      </c>
      <c r="E2370" t="inlineStr">
        <is>
          <t>BOXHOLM</t>
        </is>
      </c>
      <c r="G2370" t="n">
        <v>1.5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s="2" t="inlineStr"/>
    </row>
    <row r="2371" ht="15" customHeight="1">
      <c r="A2371" t="inlineStr">
        <is>
          <t>A 37934-2020</t>
        </is>
      </c>
      <c r="B2371" s="1" t="n">
        <v>44057</v>
      </c>
      <c r="C2371" s="1" t="n">
        <v>45211</v>
      </c>
      <c r="D2371" t="inlineStr">
        <is>
          <t>ÖSTERGÖTLANDS LÄN</t>
        </is>
      </c>
      <c r="E2371" t="inlineStr">
        <is>
          <t>YDRE</t>
        </is>
      </c>
      <c r="G2371" t="n">
        <v>4.3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s="2" t="inlineStr"/>
    </row>
    <row r="2372" ht="15" customHeight="1">
      <c r="A2372" t="inlineStr">
        <is>
          <t>A 37906-2020</t>
        </is>
      </c>
      <c r="B2372" s="1" t="n">
        <v>44057</v>
      </c>
      <c r="C2372" s="1" t="n">
        <v>45211</v>
      </c>
      <c r="D2372" t="inlineStr">
        <is>
          <t>ÖSTERGÖTLANDS LÄN</t>
        </is>
      </c>
      <c r="E2372" t="inlineStr">
        <is>
          <t>MOTALA</t>
        </is>
      </c>
      <c r="G2372" t="n">
        <v>1.5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s="2" t="inlineStr"/>
    </row>
    <row r="2373" ht="15" customHeight="1">
      <c r="A2373" t="inlineStr">
        <is>
          <t>A 37928-2020</t>
        </is>
      </c>
      <c r="B2373" s="1" t="n">
        <v>44057</v>
      </c>
      <c r="C2373" s="1" t="n">
        <v>45211</v>
      </c>
      <c r="D2373" t="inlineStr">
        <is>
          <t>ÖSTERGÖTLANDS LÄN</t>
        </is>
      </c>
      <c r="E2373" t="inlineStr">
        <is>
          <t>LINKÖPING</t>
        </is>
      </c>
      <c r="G2373" t="n">
        <v>1.3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s="2" t="inlineStr"/>
    </row>
    <row r="2374" ht="15" customHeight="1">
      <c r="A2374" t="inlineStr">
        <is>
          <t>A 37896-2020</t>
        </is>
      </c>
      <c r="B2374" s="1" t="n">
        <v>44057</v>
      </c>
      <c r="C2374" s="1" t="n">
        <v>45211</v>
      </c>
      <c r="D2374" t="inlineStr">
        <is>
          <t>ÖSTERGÖTLANDS LÄN</t>
        </is>
      </c>
      <c r="E2374" t="inlineStr">
        <is>
          <t>MOTALA</t>
        </is>
      </c>
      <c r="G2374" t="n">
        <v>0.6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s="2" t="inlineStr"/>
    </row>
    <row r="2375" ht="15" customHeight="1">
      <c r="A2375" t="inlineStr">
        <is>
          <t>A 38005-2020</t>
        </is>
      </c>
      <c r="B2375" s="1" t="n">
        <v>44057</v>
      </c>
      <c r="C2375" s="1" t="n">
        <v>45211</v>
      </c>
      <c r="D2375" t="inlineStr">
        <is>
          <t>ÖSTERGÖTLANDS LÄN</t>
        </is>
      </c>
      <c r="E2375" t="inlineStr">
        <is>
          <t>FINSPÅNG</t>
        </is>
      </c>
      <c r="G2375" t="n">
        <v>1.5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s="2" t="inlineStr"/>
    </row>
    <row r="2376" ht="15" customHeight="1">
      <c r="A2376" t="inlineStr">
        <is>
          <t>A 38031-2020</t>
        </is>
      </c>
      <c r="B2376" s="1" t="n">
        <v>44057</v>
      </c>
      <c r="C2376" s="1" t="n">
        <v>45211</v>
      </c>
      <c r="D2376" t="inlineStr">
        <is>
          <t>ÖSTERGÖTLANDS LÄN</t>
        </is>
      </c>
      <c r="E2376" t="inlineStr">
        <is>
          <t>KINDA</t>
        </is>
      </c>
      <c r="G2376" t="n">
        <v>1.6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s="2" t="inlineStr"/>
    </row>
    <row r="2377" ht="15" customHeight="1">
      <c r="A2377" t="inlineStr">
        <is>
          <t>A 37892-2020</t>
        </is>
      </c>
      <c r="B2377" s="1" t="n">
        <v>44057</v>
      </c>
      <c r="C2377" s="1" t="n">
        <v>45211</v>
      </c>
      <c r="D2377" t="inlineStr">
        <is>
          <t>ÖSTERGÖTLANDS LÄN</t>
        </is>
      </c>
      <c r="E2377" t="inlineStr">
        <is>
          <t>MOTALA</t>
        </is>
      </c>
      <c r="G2377" t="n">
        <v>1.8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s="2" t="inlineStr"/>
    </row>
    <row r="2378" ht="15" customHeight="1">
      <c r="A2378" t="inlineStr">
        <is>
          <t>A 37898-2020</t>
        </is>
      </c>
      <c r="B2378" s="1" t="n">
        <v>44057</v>
      </c>
      <c r="C2378" s="1" t="n">
        <v>45211</v>
      </c>
      <c r="D2378" t="inlineStr">
        <is>
          <t>ÖSTERGÖTLANDS LÄN</t>
        </is>
      </c>
      <c r="E2378" t="inlineStr">
        <is>
          <t>MOTALA</t>
        </is>
      </c>
      <c r="G2378" t="n">
        <v>1.9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s="2" t="inlineStr"/>
    </row>
    <row r="2379" ht="15" customHeight="1">
      <c r="A2379" t="inlineStr">
        <is>
          <t>A 38289-2020</t>
        </is>
      </c>
      <c r="B2379" s="1" t="n">
        <v>44060</v>
      </c>
      <c r="C2379" s="1" t="n">
        <v>45211</v>
      </c>
      <c r="D2379" t="inlineStr">
        <is>
          <t>ÖSTERGÖTLANDS LÄN</t>
        </is>
      </c>
      <c r="E2379" t="inlineStr">
        <is>
          <t>MOTALA</t>
        </is>
      </c>
      <c r="F2379" t="inlineStr">
        <is>
          <t>Sveaskog</t>
        </is>
      </c>
      <c r="G2379" t="n">
        <v>1.8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s="2" t="inlineStr"/>
    </row>
    <row r="2380" ht="15" customHeight="1">
      <c r="A2380" t="inlineStr">
        <is>
          <t>A 38348-2020</t>
        </is>
      </c>
      <c r="B2380" s="1" t="n">
        <v>44060</v>
      </c>
      <c r="C2380" s="1" t="n">
        <v>45211</v>
      </c>
      <c r="D2380" t="inlineStr">
        <is>
          <t>ÖSTERGÖTLANDS LÄN</t>
        </is>
      </c>
      <c r="E2380" t="inlineStr">
        <is>
          <t>BOXHOLM</t>
        </is>
      </c>
      <c r="F2380" t="inlineStr">
        <is>
          <t>Allmännings- och besparingsskogar</t>
        </is>
      </c>
      <c r="G2380" t="n">
        <v>2.6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s="2" t="inlineStr"/>
    </row>
    <row r="2381" ht="15" customHeight="1">
      <c r="A2381" t="inlineStr">
        <is>
          <t>A 38355-2020</t>
        </is>
      </c>
      <c r="B2381" s="1" t="n">
        <v>44060</v>
      </c>
      <c r="C2381" s="1" t="n">
        <v>45211</v>
      </c>
      <c r="D2381" t="inlineStr">
        <is>
          <t>ÖSTERGÖTLANDS LÄN</t>
        </is>
      </c>
      <c r="E2381" t="inlineStr">
        <is>
          <t>LINKÖPING</t>
        </is>
      </c>
      <c r="G2381" t="n">
        <v>1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s="2" t="inlineStr"/>
    </row>
    <row r="2382" ht="15" customHeight="1">
      <c r="A2382" t="inlineStr">
        <is>
          <t>A 38294-2020</t>
        </is>
      </c>
      <c r="B2382" s="1" t="n">
        <v>44060</v>
      </c>
      <c r="C2382" s="1" t="n">
        <v>45211</v>
      </c>
      <c r="D2382" t="inlineStr">
        <is>
          <t>ÖSTERGÖTLANDS LÄN</t>
        </is>
      </c>
      <c r="E2382" t="inlineStr">
        <is>
          <t>MOTALA</t>
        </is>
      </c>
      <c r="F2382" t="inlineStr">
        <is>
          <t>Sveaskog</t>
        </is>
      </c>
      <c r="G2382" t="n">
        <v>0.7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s="2" t="inlineStr"/>
    </row>
    <row r="2383" ht="15" customHeight="1">
      <c r="A2383" t="inlineStr">
        <is>
          <t>A 38308-2020</t>
        </is>
      </c>
      <c r="B2383" s="1" t="n">
        <v>44060</v>
      </c>
      <c r="C2383" s="1" t="n">
        <v>45211</v>
      </c>
      <c r="D2383" t="inlineStr">
        <is>
          <t>ÖSTERGÖTLANDS LÄN</t>
        </is>
      </c>
      <c r="E2383" t="inlineStr">
        <is>
          <t>MOTALA</t>
        </is>
      </c>
      <c r="F2383" t="inlineStr">
        <is>
          <t>Sveaskog</t>
        </is>
      </c>
      <c r="G2383" t="n">
        <v>0.6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s="2" t="inlineStr"/>
    </row>
    <row r="2384" ht="15" customHeight="1">
      <c r="A2384" t="inlineStr">
        <is>
          <t>A 38286-2020</t>
        </is>
      </c>
      <c r="B2384" s="1" t="n">
        <v>44060</v>
      </c>
      <c r="C2384" s="1" t="n">
        <v>45211</v>
      </c>
      <c r="D2384" t="inlineStr">
        <is>
          <t>ÖSTERGÖTLANDS LÄN</t>
        </is>
      </c>
      <c r="E2384" t="inlineStr">
        <is>
          <t>MOTALA</t>
        </is>
      </c>
      <c r="F2384" t="inlineStr">
        <is>
          <t>Sveaskog</t>
        </is>
      </c>
      <c r="G2384" t="n">
        <v>0.8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s="2" t="inlineStr"/>
    </row>
    <row r="2385" ht="15" customHeight="1">
      <c r="A2385" t="inlineStr">
        <is>
          <t>A 38343-2020</t>
        </is>
      </c>
      <c r="B2385" s="1" t="n">
        <v>44060</v>
      </c>
      <c r="C2385" s="1" t="n">
        <v>45211</v>
      </c>
      <c r="D2385" t="inlineStr">
        <is>
          <t>ÖSTERGÖTLANDS LÄN</t>
        </is>
      </c>
      <c r="E2385" t="inlineStr">
        <is>
          <t>BOXHOLM</t>
        </is>
      </c>
      <c r="F2385" t="inlineStr">
        <is>
          <t>Allmännings- och besparingsskogar</t>
        </is>
      </c>
      <c r="G2385" t="n">
        <v>10.3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s="2" t="inlineStr"/>
    </row>
    <row r="2386" ht="15" customHeight="1">
      <c r="A2386" t="inlineStr">
        <is>
          <t>A 38352-2020</t>
        </is>
      </c>
      <c r="B2386" s="1" t="n">
        <v>44060</v>
      </c>
      <c r="C2386" s="1" t="n">
        <v>45211</v>
      </c>
      <c r="D2386" t="inlineStr">
        <is>
          <t>ÖSTERGÖTLANDS LÄN</t>
        </is>
      </c>
      <c r="E2386" t="inlineStr">
        <is>
          <t>BOXHOLM</t>
        </is>
      </c>
      <c r="F2386" t="inlineStr">
        <is>
          <t>Allmännings- och besparingsskogar</t>
        </is>
      </c>
      <c r="G2386" t="n">
        <v>2.4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s="2" t="inlineStr"/>
    </row>
    <row r="2387" ht="15" customHeight="1">
      <c r="A2387" t="inlineStr">
        <is>
          <t>A 38282-2020</t>
        </is>
      </c>
      <c r="B2387" s="1" t="n">
        <v>44060</v>
      </c>
      <c r="C2387" s="1" t="n">
        <v>45211</v>
      </c>
      <c r="D2387" t="inlineStr">
        <is>
          <t>ÖSTERGÖTLANDS LÄN</t>
        </is>
      </c>
      <c r="E2387" t="inlineStr">
        <is>
          <t>LINKÖPING</t>
        </is>
      </c>
      <c r="G2387" t="n">
        <v>1.1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s="2" t="inlineStr"/>
    </row>
    <row r="2388" ht="15" customHeight="1">
      <c r="A2388" t="inlineStr">
        <is>
          <t>A 38287-2020</t>
        </is>
      </c>
      <c r="B2388" s="1" t="n">
        <v>44060</v>
      </c>
      <c r="C2388" s="1" t="n">
        <v>45211</v>
      </c>
      <c r="D2388" t="inlineStr">
        <is>
          <t>ÖSTERGÖTLANDS LÄN</t>
        </is>
      </c>
      <c r="E2388" t="inlineStr">
        <is>
          <t>MOTALA</t>
        </is>
      </c>
      <c r="F2388" t="inlineStr">
        <is>
          <t>Sveaskog</t>
        </is>
      </c>
      <c r="G2388" t="n">
        <v>1.3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s="2" t="inlineStr"/>
    </row>
    <row r="2389" ht="15" customHeight="1">
      <c r="A2389" t="inlineStr">
        <is>
          <t>A 38335-2020</t>
        </is>
      </c>
      <c r="B2389" s="1" t="n">
        <v>44060</v>
      </c>
      <c r="C2389" s="1" t="n">
        <v>45211</v>
      </c>
      <c r="D2389" t="inlineStr">
        <is>
          <t>ÖSTERGÖTLANDS LÄN</t>
        </is>
      </c>
      <c r="E2389" t="inlineStr">
        <is>
          <t>MJÖLBY</t>
        </is>
      </c>
      <c r="G2389" t="n">
        <v>1.4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s="2" t="inlineStr"/>
    </row>
    <row r="2390" ht="15" customHeight="1">
      <c r="A2390" t="inlineStr">
        <is>
          <t>A 38503-2020</t>
        </is>
      </c>
      <c r="B2390" s="1" t="n">
        <v>44061</v>
      </c>
      <c r="C2390" s="1" t="n">
        <v>45211</v>
      </c>
      <c r="D2390" t="inlineStr">
        <is>
          <t>ÖSTERGÖTLANDS LÄN</t>
        </is>
      </c>
      <c r="E2390" t="inlineStr">
        <is>
          <t>MOTALA</t>
        </is>
      </c>
      <c r="F2390" t="inlineStr">
        <is>
          <t>Kyrkan</t>
        </is>
      </c>
      <c r="G2390" t="n">
        <v>3.1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s="2" t="inlineStr"/>
    </row>
    <row r="2391" ht="15" customHeight="1">
      <c r="A2391" t="inlineStr">
        <is>
          <t>A 38566-2020</t>
        </is>
      </c>
      <c r="B2391" s="1" t="n">
        <v>44061</v>
      </c>
      <c r="C2391" s="1" t="n">
        <v>45211</v>
      </c>
      <c r="D2391" t="inlineStr">
        <is>
          <t>ÖSTERGÖTLANDS LÄN</t>
        </is>
      </c>
      <c r="E2391" t="inlineStr">
        <is>
          <t>NORRKÖPING</t>
        </is>
      </c>
      <c r="G2391" t="n">
        <v>0.8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s="2" t="inlineStr"/>
    </row>
    <row r="2392" ht="15" customHeight="1">
      <c r="A2392" t="inlineStr">
        <is>
          <t>A 38572-2020</t>
        </is>
      </c>
      <c r="B2392" s="1" t="n">
        <v>44061</v>
      </c>
      <c r="C2392" s="1" t="n">
        <v>45211</v>
      </c>
      <c r="D2392" t="inlineStr">
        <is>
          <t>ÖSTERGÖTLANDS LÄN</t>
        </is>
      </c>
      <c r="E2392" t="inlineStr">
        <is>
          <t>MOTALA</t>
        </is>
      </c>
      <c r="G2392" t="n">
        <v>1.2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s="2" t="inlineStr"/>
    </row>
    <row r="2393" ht="15" customHeight="1">
      <c r="A2393" t="inlineStr">
        <is>
          <t>A 38622-2020</t>
        </is>
      </c>
      <c r="B2393" s="1" t="n">
        <v>44061</v>
      </c>
      <c r="C2393" s="1" t="n">
        <v>45211</v>
      </c>
      <c r="D2393" t="inlineStr">
        <is>
          <t>ÖSTERGÖTLANDS LÄN</t>
        </is>
      </c>
      <c r="E2393" t="inlineStr">
        <is>
          <t>ÅTVIDABERG</t>
        </is>
      </c>
      <c r="G2393" t="n">
        <v>0.7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s="2" t="inlineStr"/>
    </row>
    <row r="2394" ht="15" customHeight="1">
      <c r="A2394" t="inlineStr">
        <is>
          <t>A 38528-2020</t>
        </is>
      </c>
      <c r="B2394" s="1" t="n">
        <v>44061</v>
      </c>
      <c r="C2394" s="1" t="n">
        <v>45211</v>
      </c>
      <c r="D2394" t="inlineStr">
        <is>
          <t>ÖSTERGÖTLANDS LÄN</t>
        </is>
      </c>
      <c r="E2394" t="inlineStr">
        <is>
          <t>MJÖLBY</t>
        </is>
      </c>
      <c r="F2394" t="inlineStr">
        <is>
          <t>Kyrkan</t>
        </is>
      </c>
      <c r="G2394" t="n">
        <v>12.4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s="2" t="inlineStr"/>
    </row>
    <row r="2395" ht="15" customHeight="1">
      <c r="A2395" t="inlineStr">
        <is>
          <t>A 38823-2020</t>
        </is>
      </c>
      <c r="B2395" s="1" t="n">
        <v>44062</v>
      </c>
      <c r="C2395" s="1" t="n">
        <v>45211</v>
      </c>
      <c r="D2395" t="inlineStr">
        <is>
          <t>ÖSTERGÖTLANDS LÄN</t>
        </is>
      </c>
      <c r="E2395" t="inlineStr">
        <is>
          <t>ÖDESHÖG</t>
        </is>
      </c>
      <c r="F2395" t="inlineStr">
        <is>
          <t>Kyrkan</t>
        </is>
      </c>
      <c r="G2395" t="n">
        <v>2.1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s="2" t="inlineStr"/>
    </row>
    <row r="2396" ht="15" customHeight="1">
      <c r="A2396" t="inlineStr">
        <is>
          <t>A 38923-2020</t>
        </is>
      </c>
      <c r="B2396" s="1" t="n">
        <v>44062</v>
      </c>
      <c r="C2396" s="1" t="n">
        <v>45211</v>
      </c>
      <c r="D2396" t="inlineStr">
        <is>
          <t>ÖSTERGÖTLANDS LÄN</t>
        </is>
      </c>
      <c r="E2396" t="inlineStr">
        <is>
          <t>FINSPÅNG</t>
        </is>
      </c>
      <c r="F2396" t="inlineStr">
        <is>
          <t>Sveaskog</t>
        </is>
      </c>
      <c r="G2396" t="n">
        <v>2.9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s="2" t="inlineStr"/>
    </row>
    <row r="2397" ht="15" customHeight="1">
      <c r="A2397" t="inlineStr">
        <is>
          <t>A 38897-2020</t>
        </is>
      </c>
      <c r="B2397" s="1" t="n">
        <v>44062</v>
      </c>
      <c r="C2397" s="1" t="n">
        <v>45211</v>
      </c>
      <c r="D2397" t="inlineStr">
        <is>
          <t>ÖSTERGÖTLANDS LÄN</t>
        </is>
      </c>
      <c r="E2397" t="inlineStr">
        <is>
          <t>ÅTVIDABERG</t>
        </is>
      </c>
      <c r="G2397" t="n">
        <v>1.1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s="2" t="inlineStr"/>
    </row>
    <row r="2398" ht="15" customHeight="1">
      <c r="A2398" t="inlineStr">
        <is>
          <t>A 39093-2020</t>
        </is>
      </c>
      <c r="B2398" s="1" t="n">
        <v>44063</v>
      </c>
      <c r="C2398" s="1" t="n">
        <v>45211</v>
      </c>
      <c r="D2398" t="inlineStr">
        <is>
          <t>ÖSTERGÖTLANDS LÄN</t>
        </is>
      </c>
      <c r="E2398" t="inlineStr">
        <is>
          <t>KINDA</t>
        </is>
      </c>
      <c r="G2398" t="n">
        <v>5.3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s="2" t="inlineStr"/>
    </row>
    <row r="2399" ht="15" customHeight="1">
      <c r="A2399" t="inlineStr">
        <is>
          <t>A 39386-2020</t>
        </is>
      </c>
      <c r="B2399" s="1" t="n">
        <v>44063</v>
      </c>
      <c r="C2399" s="1" t="n">
        <v>45211</v>
      </c>
      <c r="D2399" t="inlineStr">
        <is>
          <t>ÖSTERGÖTLANDS LÄN</t>
        </is>
      </c>
      <c r="E2399" t="inlineStr">
        <is>
          <t>MOTALA</t>
        </is>
      </c>
      <c r="G2399" t="n">
        <v>11.6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s="2" t="inlineStr"/>
    </row>
    <row r="2400" ht="15" customHeight="1">
      <c r="A2400" t="inlineStr">
        <is>
          <t>A 39164-2020</t>
        </is>
      </c>
      <c r="B2400" s="1" t="n">
        <v>44063</v>
      </c>
      <c r="C2400" s="1" t="n">
        <v>45211</v>
      </c>
      <c r="D2400" t="inlineStr">
        <is>
          <t>ÖSTERGÖTLANDS LÄN</t>
        </is>
      </c>
      <c r="E2400" t="inlineStr">
        <is>
          <t>NORRKÖPING</t>
        </is>
      </c>
      <c r="G2400" t="n">
        <v>2.6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s="2" t="inlineStr"/>
    </row>
    <row r="2401" ht="15" customHeight="1">
      <c r="A2401" t="inlineStr">
        <is>
          <t>A 39324-2020</t>
        </is>
      </c>
      <c r="B2401" s="1" t="n">
        <v>44063</v>
      </c>
      <c r="C2401" s="1" t="n">
        <v>45211</v>
      </c>
      <c r="D2401" t="inlineStr">
        <is>
          <t>ÖSTERGÖTLANDS LÄN</t>
        </is>
      </c>
      <c r="E2401" t="inlineStr">
        <is>
          <t>KINDA</t>
        </is>
      </c>
      <c r="G2401" t="n">
        <v>5.2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s="2" t="inlineStr"/>
    </row>
    <row r="2402" ht="15" customHeight="1">
      <c r="A2402" t="inlineStr">
        <is>
          <t>A 39094-2020</t>
        </is>
      </c>
      <c r="B2402" s="1" t="n">
        <v>44063</v>
      </c>
      <c r="C2402" s="1" t="n">
        <v>45211</v>
      </c>
      <c r="D2402" t="inlineStr">
        <is>
          <t>ÖSTERGÖTLANDS LÄN</t>
        </is>
      </c>
      <c r="E2402" t="inlineStr">
        <is>
          <t>KINDA</t>
        </is>
      </c>
      <c r="G2402" t="n">
        <v>1.5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s="2" t="inlineStr"/>
    </row>
    <row r="2403" ht="15" customHeight="1">
      <c r="A2403" t="inlineStr">
        <is>
          <t>A 39294-2020</t>
        </is>
      </c>
      <c r="B2403" s="1" t="n">
        <v>44063</v>
      </c>
      <c r="C2403" s="1" t="n">
        <v>45211</v>
      </c>
      <c r="D2403" t="inlineStr">
        <is>
          <t>ÖSTERGÖTLANDS LÄN</t>
        </is>
      </c>
      <c r="E2403" t="inlineStr">
        <is>
          <t>NORRKÖPING</t>
        </is>
      </c>
      <c r="F2403" t="inlineStr">
        <is>
          <t>Holmen skog AB</t>
        </is>
      </c>
      <c r="G2403" t="n">
        <v>1.1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s="2" t="inlineStr"/>
    </row>
    <row r="2404" ht="15" customHeight="1">
      <c r="A2404" t="inlineStr">
        <is>
          <t>A 39310-2020</t>
        </is>
      </c>
      <c r="B2404" s="1" t="n">
        <v>44063</v>
      </c>
      <c r="C2404" s="1" t="n">
        <v>45211</v>
      </c>
      <c r="D2404" t="inlineStr">
        <is>
          <t>ÖSTERGÖTLANDS LÄN</t>
        </is>
      </c>
      <c r="E2404" t="inlineStr">
        <is>
          <t>MOTALA</t>
        </is>
      </c>
      <c r="G2404" t="n">
        <v>1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s="2" t="inlineStr"/>
    </row>
    <row r="2405" ht="15" customHeight="1">
      <c r="A2405" t="inlineStr">
        <is>
          <t>A 39401-2020</t>
        </is>
      </c>
      <c r="B2405" s="1" t="n">
        <v>44063</v>
      </c>
      <c r="C2405" s="1" t="n">
        <v>45211</v>
      </c>
      <c r="D2405" t="inlineStr">
        <is>
          <t>ÖSTERGÖTLANDS LÄN</t>
        </is>
      </c>
      <c r="E2405" t="inlineStr">
        <is>
          <t>MOTALA</t>
        </is>
      </c>
      <c r="G2405" t="n">
        <v>5.4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s="2" t="inlineStr"/>
    </row>
    <row r="2406" ht="15" customHeight="1">
      <c r="A2406" t="inlineStr">
        <is>
          <t>A 39601-2020</t>
        </is>
      </c>
      <c r="B2406" s="1" t="n">
        <v>44064</v>
      </c>
      <c r="C2406" s="1" t="n">
        <v>45211</v>
      </c>
      <c r="D2406" t="inlineStr">
        <is>
          <t>ÖSTERGÖTLANDS LÄN</t>
        </is>
      </c>
      <c r="E2406" t="inlineStr">
        <is>
          <t>BOXHOLM</t>
        </is>
      </c>
      <c r="F2406" t="inlineStr">
        <is>
          <t>Övriga Aktiebolag</t>
        </is>
      </c>
      <c r="G2406" t="n">
        <v>3.2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s="2" t="inlineStr"/>
    </row>
    <row r="2407" ht="15" customHeight="1">
      <c r="A2407" t="inlineStr">
        <is>
          <t>A 40125-2020</t>
        </is>
      </c>
      <c r="B2407" s="1" t="n">
        <v>44064</v>
      </c>
      <c r="C2407" s="1" t="n">
        <v>45211</v>
      </c>
      <c r="D2407" t="inlineStr">
        <is>
          <t>ÖSTERGÖTLANDS LÄN</t>
        </is>
      </c>
      <c r="E2407" t="inlineStr">
        <is>
          <t>FINSPÅNG</t>
        </is>
      </c>
      <c r="G2407" t="n">
        <v>11.5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s="2" t="inlineStr"/>
    </row>
    <row r="2408" ht="15" customHeight="1">
      <c r="A2408" t="inlineStr">
        <is>
          <t>A 39369-2020</t>
        </is>
      </c>
      <c r="B2408" s="1" t="n">
        <v>44064</v>
      </c>
      <c r="C2408" s="1" t="n">
        <v>45211</v>
      </c>
      <c r="D2408" t="inlineStr">
        <is>
          <t>ÖSTERGÖTLANDS LÄN</t>
        </is>
      </c>
      <c r="E2408" t="inlineStr">
        <is>
          <t>SÖDERKÖPING</t>
        </is>
      </c>
      <c r="G2408" t="n">
        <v>1.4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s="2" t="inlineStr"/>
    </row>
    <row r="2409" ht="15" customHeight="1">
      <c r="A2409" t="inlineStr">
        <is>
          <t>A 39600-2020</t>
        </is>
      </c>
      <c r="B2409" s="1" t="n">
        <v>44064</v>
      </c>
      <c r="C2409" s="1" t="n">
        <v>45211</v>
      </c>
      <c r="D2409" t="inlineStr">
        <is>
          <t>ÖSTERGÖTLANDS LÄN</t>
        </is>
      </c>
      <c r="E2409" t="inlineStr">
        <is>
          <t>MOTALA</t>
        </is>
      </c>
      <c r="G2409" t="n">
        <v>2.3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s="2" t="inlineStr"/>
    </row>
    <row r="2410" ht="15" customHeight="1">
      <c r="A2410" t="inlineStr">
        <is>
          <t>A 39606-2020</t>
        </is>
      </c>
      <c r="B2410" s="1" t="n">
        <v>44064</v>
      </c>
      <c r="C2410" s="1" t="n">
        <v>45211</v>
      </c>
      <c r="D2410" t="inlineStr">
        <is>
          <t>ÖSTERGÖTLANDS LÄN</t>
        </is>
      </c>
      <c r="E2410" t="inlineStr">
        <is>
          <t>MOTALA</t>
        </is>
      </c>
      <c r="G2410" t="n">
        <v>1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s="2" t="inlineStr"/>
    </row>
    <row r="2411" ht="15" customHeight="1">
      <c r="A2411" t="inlineStr">
        <is>
          <t>A 39446-2020</t>
        </is>
      </c>
      <c r="B2411" s="1" t="n">
        <v>44064</v>
      </c>
      <c r="C2411" s="1" t="n">
        <v>45211</v>
      </c>
      <c r="D2411" t="inlineStr">
        <is>
          <t>ÖSTERGÖTLANDS LÄN</t>
        </is>
      </c>
      <c r="E2411" t="inlineStr">
        <is>
          <t>YDRE</t>
        </is>
      </c>
      <c r="G2411" t="n">
        <v>0.7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s="2" t="inlineStr"/>
    </row>
    <row r="2412" ht="15" customHeight="1">
      <c r="A2412" t="inlineStr">
        <is>
          <t>A 39496-2020</t>
        </is>
      </c>
      <c r="B2412" s="1" t="n">
        <v>44064</v>
      </c>
      <c r="C2412" s="1" t="n">
        <v>45211</v>
      </c>
      <c r="D2412" t="inlineStr">
        <is>
          <t>ÖSTERGÖTLANDS LÄN</t>
        </is>
      </c>
      <c r="E2412" t="inlineStr">
        <is>
          <t>NORRKÖPING</t>
        </is>
      </c>
      <c r="G2412" t="n">
        <v>1.9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s="2" t="inlineStr"/>
    </row>
    <row r="2413" ht="15" customHeight="1">
      <c r="A2413" t="inlineStr">
        <is>
          <t>A 39503-2020</t>
        </is>
      </c>
      <c r="B2413" s="1" t="n">
        <v>44064</v>
      </c>
      <c r="C2413" s="1" t="n">
        <v>45211</v>
      </c>
      <c r="D2413" t="inlineStr">
        <is>
          <t>ÖSTERGÖTLANDS LÄN</t>
        </is>
      </c>
      <c r="E2413" t="inlineStr">
        <is>
          <t>VALDEMARSVIK</t>
        </is>
      </c>
      <c r="F2413" t="inlineStr">
        <is>
          <t>Holmen skog AB</t>
        </is>
      </c>
      <c r="G2413" t="n">
        <v>0.5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s="2" t="inlineStr"/>
    </row>
    <row r="2414" ht="15" customHeight="1">
      <c r="A2414" t="inlineStr">
        <is>
          <t>A 39608-2020</t>
        </is>
      </c>
      <c r="B2414" s="1" t="n">
        <v>44064</v>
      </c>
      <c r="C2414" s="1" t="n">
        <v>45211</v>
      </c>
      <c r="D2414" t="inlineStr">
        <is>
          <t>ÖSTERGÖTLANDS LÄN</t>
        </is>
      </c>
      <c r="E2414" t="inlineStr">
        <is>
          <t>BOXHOLM</t>
        </is>
      </c>
      <c r="F2414" t="inlineStr">
        <is>
          <t>Övriga Aktiebolag</t>
        </is>
      </c>
      <c r="G2414" t="n">
        <v>1.8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s="2" t="inlineStr"/>
    </row>
    <row r="2415" ht="15" customHeight="1">
      <c r="A2415" t="inlineStr">
        <is>
          <t>A 39510-2020</t>
        </is>
      </c>
      <c r="B2415" s="1" t="n">
        <v>44064</v>
      </c>
      <c r="C2415" s="1" t="n">
        <v>45211</v>
      </c>
      <c r="D2415" t="inlineStr">
        <is>
          <t>ÖSTERGÖTLANDS LÄN</t>
        </is>
      </c>
      <c r="E2415" t="inlineStr">
        <is>
          <t>ÅTVIDABERG</t>
        </is>
      </c>
      <c r="F2415" t="inlineStr">
        <is>
          <t>Holmen skog AB</t>
        </is>
      </c>
      <c r="G2415" t="n">
        <v>1.6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s="2" t="inlineStr"/>
    </row>
    <row r="2416" ht="15" customHeight="1">
      <c r="A2416" t="inlineStr">
        <is>
          <t>A 39957-2020</t>
        </is>
      </c>
      <c r="B2416" s="1" t="n">
        <v>44067</v>
      </c>
      <c r="C2416" s="1" t="n">
        <v>45211</v>
      </c>
      <c r="D2416" t="inlineStr">
        <is>
          <t>ÖSTERGÖTLANDS LÄN</t>
        </is>
      </c>
      <c r="E2416" t="inlineStr">
        <is>
          <t>NORRKÖPING</t>
        </is>
      </c>
      <c r="F2416" t="inlineStr">
        <is>
          <t>Allmännings- och besparingsskogar</t>
        </is>
      </c>
      <c r="G2416" t="n">
        <v>4.3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s="2" t="inlineStr"/>
    </row>
    <row r="2417" ht="15" customHeight="1">
      <c r="A2417" t="inlineStr">
        <is>
          <t>A 39955-2020</t>
        </is>
      </c>
      <c r="B2417" s="1" t="n">
        <v>44067</v>
      </c>
      <c r="C2417" s="1" t="n">
        <v>45211</v>
      </c>
      <c r="D2417" t="inlineStr">
        <is>
          <t>ÖSTERGÖTLANDS LÄN</t>
        </is>
      </c>
      <c r="E2417" t="inlineStr">
        <is>
          <t>KINDA</t>
        </is>
      </c>
      <c r="G2417" t="n">
        <v>0.5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s="2" t="inlineStr"/>
    </row>
    <row r="2418" ht="15" customHeight="1">
      <c r="A2418" t="inlineStr">
        <is>
          <t>A 39966-2020</t>
        </is>
      </c>
      <c r="B2418" s="1" t="n">
        <v>44067</v>
      </c>
      <c r="C2418" s="1" t="n">
        <v>45211</v>
      </c>
      <c r="D2418" t="inlineStr">
        <is>
          <t>ÖSTERGÖTLANDS LÄN</t>
        </is>
      </c>
      <c r="E2418" t="inlineStr">
        <is>
          <t>NORRKÖPING</t>
        </is>
      </c>
      <c r="F2418" t="inlineStr">
        <is>
          <t>Allmännings- och besparingsskogar</t>
        </is>
      </c>
      <c r="G2418" t="n">
        <v>5.6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s="2" t="inlineStr"/>
    </row>
    <row r="2419" ht="15" customHeight="1">
      <c r="A2419" t="inlineStr">
        <is>
          <t>A 40651-2020</t>
        </is>
      </c>
      <c r="B2419" s="1" t="n">
        <v>44067</v>
      </c>
      <c r="C2419" s="1" t="n">
        <v>45211</v>
      </c>
      <c r="D2419" t="inlineStr">
        <is>
          <t>ÖSTERGÖTLANDS LÄN</t>
        </is>
      </c>
      <c r="E2419" t="inlineStr">
        <is>
          <t>ÅTVIDABERG</t>
        </is>
      </c>
      <c r="G2419" t="n">
        <v>11.1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s="2" t="inlineStr"/>
    </row>
    <row r="2420" ht="15" customHeight="1">
      <c r="A2420" t="inlineStr">
        <is>
          <t>A 39869-2020</t>
        </is>
      </c>
      <c r="B2420" s="1" t="n">
        <v>44067</v>
      </c>
      <c r="C2420" s="1" t="n">
        <v>45211</v>
      </c>
      <c r="D2420" t="inlineStr">
        <is>
          <t>ÖSTERGÖTLANDS LÄN</t>
        </is>
      </c>
      <c r="E2420" t="inlineStr">
        <is>
          <t>FINSPÅNG</t>
        </is>
      </c>
      <c r="F2420" t="inlineStr">
        <is>
          <t>Sveaskog</t>
        </is>
      </c>
      <c r="G2420" t="n">
        <v>1.3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s="2" t="inlineStr"/>
    </row>
    <row r="2421" ht="15" customHeight="1">
      <c r="A2421" t="inlineStr">
        <is>
          <t>A 39927-2020</t>
        </is>
      </c>
      <c r="B2421" s="1" t="n">
        <v>44067</v>
      </c>
      <c r="C2421" s="1" t="n">
        <v>45211</v>
      </c>
      <c r="D2421" t="inlineStr">
        <is>
          <t>ÖSTERGÖTLANDS LÄN</t>
        </is>
      </c>
      <c r="E2421" t="inlineStr">
        <is>
          <t>MOTALA</t>
        </is>
      </c>
      <c r="F2421" t="inlineStr">
        <is>
          <t>Sveaskog</t>
        </is>
      </c>
      <c r="G2421" t="n">
        <v>0.6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s="2" t="inlineStr"/>
    </row>
    <row r="2422" ht="15" customHeight="1">
      <c r="A2422" t="inlineStr">
        <is>
          <t>A 39970-2020</t>
        </is>
      </c>
      <c r="B2422" s="1" t="n">
        <v>44067</v>
      </c>
      <c r="C2422" s="1" t="n">
        <v>45211</v>
      </c>
      <c r="D2422" t="inlineStr">
        <is>
          <t>ÖSTERGÖTLANDS LÄN</t>
        </is>
      </c>
      <c r="E2422" t="inlineStr">
        <is>
          <t>NORRKÖPING</t>
        </is>
      </c>
      <c r="F2422" t="inlineStr">
        <is>
          <t>Allmännings- och besparingsskogar</t>
        </is>
      </c>
      <c r="G2422" t="n">
        <v>2.1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s="2" t="inlineStr"/>
    </row>
    <row r="2423" ht="15" customHeight="1">
      <c r="A2423" t="inlineStr">
        <is>
          <t>A 39870-2020</t>
        </is>
      </c>
      <c r="B2423" s="1" t="n">
        <v>44067</v>
      </c>
      <c r="C2423" s="1" t="n">
        <v>45211</v>
      </c>
      <c r="D2423" t="inlineStr">
        <is>
          <t>ÖSTERGÖTLANDS LÄN</t>
        </is>
      </c>
      <c r="E2423" t="inlineStr">
        <is>
          <t>FINSPÅNG</t>
        </is>
      </c>
      <c r="F2423" t="inlineStr">
        <is>
          <t>Sveaskog</t>
        </is>
      </c>
      <c r="G2423" t="n">
        <v>0.7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s="2" t="inlineStr"/>
    </row>
    <row r="2424" ht="15" customHeight="1">
      <c r="A2424" t="inlineStr">
        <is>
          <t>A 39954-2020</t>
        </is>
      </c>
      <c r="B2424" s="1" t="n">
        <v>44067</v>
      </c>
      <c r="C2424" s="1" t="n">
        <v>45211</v>
      </c>
      <c r="D2424" t="inlineStr">
        <is>
          <t>ÖSTERGÖTLANDS LÄN</t>
        </is>
      </c>
      <c r="E2424" t="inlineStr">
        <is>
          <t>NORRKÖPING</t>
        </is>
      </c>
      <c r="F2424" t="inlineStr">
        <is>
          <t>Allmännings- och besparingsskogar</t>
        </is>
      </c>
      <c r="G2424" t="n">
        <v>6.2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s="2" t="inlineStr"/>
    </row>
    <row r="2425" ht="15" customHeight="1">
      <c r="A2425" t="inlineStr">
        <is>
          <t>A 40281-2020</t>
        </is>
      </c>
      <c r="B2425" s="1" t="n">
        <v>44068</v>
      </c>
      <c r="C2425" s="1" t="n">
        <v>45211</v>
      </c>
      <c r="D2425" t="inlineStr">
        <is>
          <t>ÖSTERGÖTLANDS LÄN</t>
        </is>
      </c>
      <c r="E2425" t="inlineStr">
        <is>
          <t>MOTALA</t>
        </is>
      </c>
      <c r="G2425" t="n">
        <v>2.5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s="2" t="inlineStr"/>
    </row>
    <row r="2426" ht="15" customHeight="1">
      <c r="A2426" t="inlineStr">
        <is>
          <t>A 40357-2020</t>
        </is>
      </c>
      <c r="B2426" s="1" t="n">
        <v>44068</v>
      </c>
      <c r="C2426" s="1" t="n">
        <v>45211</v>
      </c>
      <c r="D2426" t="inlineStr">
        <is>
          <t>ÖSTERGÖTLANDS LÄN</t>
        </is>
      </c>
      <c r="E2426" t="inlineStr">
        <is>
          <t>KINDA</t>
        </is>
      </c>
      <c r="G2426" t="n">
        <v>3.3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s="2" t="inlineStr"/>
    </row>
    <row r="2427" ht="15" customHeight="1">
      <c r="A2427" t="inlineStr">
        <is>
          <t>A 40300-2020</t>
        </is>
      </c>
      <c r="B2427" s="1" t="n">
        <v>44068</v>
      </c>
      <c r="C2427" s="1" t="n">
        <v>45211</v>
      </c>
      <c r="D2427" t="inlineStr">
        <is>
          <t>ÖSTERGÖTLANDS LÄN</t>
        </is>
      </c>
      <c r="E2427" t="inlineStr">
        <is>
          <t>MJÖLBY</t>
        </is>
      </c>
      <c r="G2427" t="n">
        <v>2.7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s="2" t="inlineStr"/>
    </row>
    <row r="2428" ht="15" customHeight="1">
      <c r="A2428" t="inlineStr">
        <is>
          <t>A 40365-2020</t>
        </is>
      </c>
      <c r="B2428" s="1" t="n">
        <v>44068</v>
      </c>
      <c r="C2428" s="1" t="n">
        <v>45211</v>
      </c>
      <c r="D2428" t="inlineStr">
        <is>
          <t>ÖSTERGÖTLANDS LÄN</t>
        </is>
      </c>
      <c r="E2428" t="inlineStr">
        <is>
          <t>SÖDERKÖPING</t>
        </is>
      </c>
      <c r="G2428" t="n">
        <v>0.6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s="2" t="inlineStr"/>
    </row>
    <row r="2429" ht="15" customHeight="1">
      <c r="A2429" t="inlineStr">
        <is>
          <t>A 40546-2020</t>
        </is>
      </c>
      <c r="B2429" s="1" t="n">
        <v>44069</v>
      </c>
      <c r="C2429" s="1" t="n">
        <v>45211</v>
      </c>
      <c r="D2429" t="inlineStr">
        <is>
          <t>ÖSTERGÖTLANDS LÄN</t>
        </is>
      </c>
      <c r="E2429" t="inlineStr">
        <is>
          <t>FINSPÅNG</t>
        </is>
      </c>
      <c r="F2429" t="inlineStr">
        <is>
          <t>Holmen skog AB</t>
        </is>
      </c>
      <c r="G2429" t="n">
        <v>0.6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s="2" t="inlineStr"/>
    </row>
    <row r="2430" ht="15" customHeight="1">
      <c r="A2430" t="inlineStr">
        <is>
          <t>A 40635-2020</t>
        </is>
      </c>
      <c r="B2430" s="1" t="n">
        <v>44069</v>
      </c>
      <c r="C2430" s="1" t="n">
        <v>45211</v>
      </c>
      <c r="D2430" t="inlineStr">
        <is>
          <t>ÖSTERGÖTLANDS LÄN</t>
        </is>
      </c>
      <c r="E2430" t="inlineStr">
        <is>
          <t>FINSPÅNG</t>
        </is>
      </c>
      <c r="F2430" t="inlineStr">
        <is>
          <t>Holmen skog AB</t>
        </is>
      </c>
      <c r="G2430" t="n">
        <v>0.5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s="2" t="inlineStr"/>
    </row>
    <row r="2431" ht="15" customHeight="1">
      <c r="A2431" t="inlineStr">
        <is>
          <t>A 40731-2020</t>
        </is>
      </c>
      <c r="B2431" s="1" t="n">
        <v>44069</v>
      </c>
      <c r="C2431" s="1" t="n">
        <v>45211</v>
      </c>
      <c r="D2431" t="inlineStr">
        <is>
          <t>ÖSTERGÖTLANDS LÄN</t>
        </is>
      </c>
      <c r="E2431" t="inlineStr">
        <is>
          <t>KINDA</t>
        </is>
      </c>
      <c r="G2431" t="n">
        <v>1.6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s="2" t="inlineStr"/>
    </row>
    <row r="2432" ht="15" customHeight="1">
      <c r="A2432" t="inlineStr">
        <is>
          <t>A 40560-2020</t>
        </is>
      </c>
      <c r="B2432" s="1" t="n">
        <v>44069</v>
      </c>
      <c r="C2432" s="1" t="n">
        <v>45211</v>
      </c>
      <c r="D2432" t="inlineStr">
        <is>
          <t>ÖSTERGÖTLANDS LÄN</t>
        </is>
      </c>
      <c r="E2432" t="inlineStr">
        <is>
          <t>YDRE</t>
        </is>
      </c>
      <c r="G2432" t="n">
        <v>1.2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s="2" t="inlineStr"/>
    </row>
    <row r="2433" ht="15" customHeight="1">
      <c r="A2433" t="inlineStr">
        <is>
          <t>A 41331-2020</t>
        </is>
      </c>
      <c r="B2433" s="1" t="n">
        <v>44071</v>
      </c>
      <c r="C2433" s="1" t="n">
        <v>45211</v>
      </c>
      <c r="D2433" t="inlineStr">
        <is>
          <t>ÖSTERGÖTLANDS LÄN</t>
        </is>
      </c>
      <c r="E2433" t="inlineStr">
        <is>
          <t>FINSPÅNG</t>
        </is>
      </c>
      <c r="G2433" t="n">
        <v>1.4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s="2" t="inlineStr"/>
    </row>
    <row r="2434" ht="15" customHeight="1">
      <c r="A2434" t="inlineStr">
        <is>
          <t>A 41042-2020</t>
        </is>
      </c>
      <c r="B2434" s="1" t="n">
        <v>44071</v>
      </c>
      <c r="C2434" s="1" t="n">
        <v>45211</v>
      </c>
      <c r="D2434" t="inlineStr">
        <is>
          <t>ÖSTERGÖTLANDS LÄN</t>
        </is>
      </c>
      <c r="E2434" t="inlineStr">
        <is>
          <t>MJÖLBY</t>
        </is>
      </c>
      <c r="G2434" t="n">
        <v>3.3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s="2" t="inlineStr"/>
    </row>
    <row r="2435" ht="15" customHeight="1">
      <c r="A2435" t="inlineStr">
        <is>
          <t>A 41078-2020</t>
        </is>
      </c>
      <c r="B2435" s="1" t="n">
        <v>44071</v>
      </c>
      <c r="C2435" s="1" t="n">
        <v>45211</v>
      </c>
      <c r="D2435" t="inlineStr">
        <is>
          <t>ÖSTERGÖTLANDS LÄN</t>
        </is>
      </c>
      <c r="E2435" t="inlineStr">
        <is>
          <t>BOXHOLM</t>
        </is>
      </c>
      <c r="F2435" t="inlineStr">
        <is>
          <t>Övriga Aktiebolag</t>
        </is>
      </c>
      <c r="G2435" t="n">
        <v>1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s="2" t="inlineStr"/>
    </row>
    <row r="2436" ht="15" customHeight="1">
      <c r="A2436" t="inlineStr">
        <is>
          <t>A 41084-2020</t>
        </is>
      </c>
      <c r="B2436" s="1" t="n">
        <v>44071</v>
      </c>
      <c r="C2436" s="1" t="n">
        <v>45211</v>
      </c>
      <c r="D2436" t="inlineStr">
        <is>
          <t>ÖSTERGÖTLANDS LÄN</t>
        </is>
      </c>
      <c r="E2436" t="inlineStr">
        <is>
          <t>FINSPÅNG</t>
        </is>
      </c>
      <c r="F2436" t="inlineStr">
        <is>
          <t>Holmen skog AB</t>
        </is>
      </c>
      <c r="G2436" t="n">
        <v>0.4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s="2" t="inlineStr"/>
    </row>
    <row r="2437" ht="15" customHeight="1">
      <c r="A2437" t="inlineStr">
        <is>
          <t>A 41071-2020</t>
        </is>
      </c>
      <c r="B2437" s="1" t="n">
        <v>44071</v>
      </c>
      <c r="C2437" s="1" t="n">
        <v>45211</v>
      </c>
      <c r="D2437" t="inlineStr">
        <is>
          <t>ÖSTERGÖTLANDS LÄN</t>
        </is>
      </c>
      <c r="E2437" t="inlineStr">
        <is>
          <t>BOXHOLM</t>
        </is>
      </c>
      <c r="F2437" t="inlineStr">
        <is>
          <t>Övriga Aktiebolag</t>
        </is>
      </c>
      <c r="G2437" t="n">
        <v>0.8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s="2" t="inlineStr"/>
    </row>
    <row r="2438" ht="15" customHeight="1">
      <c r="A2438" t="inlineStr">
        <is>
          <t>A 41247-2020</t>
        </is>
      </c>
      <c r="B2438" s="1" t="n">
        <v>44071</v>
      </c>
      <c r="C2438" s="1" t="n">
        <v>45211</v>
      </c>
      <c r="D2438" t="inlineStr">
        <is>
          <t>ÖSTERGÖTLANDS LÄN</t>
        </is>
      </c>
      <c r="E2438" t="inlineStr">
        <is>
          <t>FINSPÅNG</t>
        </is>
      </c>
      <c r="F2438" t="inlineStr">
        <is>
          <t>Holmen skog AB</t>
        </is>
      </c>
      <c r="G2438" t="n">
        <v>0.6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s="2" t="inlineStr"/>
    </row>
    <row r="2439" ht="15" customHeight="1">
      <c r="A2439" t="inlineStr">
        <is>
          <t>A 41387-2020</t>
        </is>
      </c>
      <c r="B2439" s="1" t="n">
        <v>44072</v>
      </c>
      <c r="C2439" s="1" t="n">
        <v>45211</v>
      </c>
      <c r="D2439" t="inlineStr">
        <is>
          <t>ÖSTERGÖTLANDS LÄN</t>
        </is>
      </c>
      <c r="E2439" t="inlineStr">
        <is>
          <t>ÅTVIDABERG</t>
        </is>
      </c>
      <c r="F2439" t="inlineStr">
        <is>
          <t>Sveaskog</t>
        </is>
      </c>
      <c r="G2439" t="n">
        <v>3.8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s="2" t="inlineStr"/>
    </row>
    <row r="2440" ht="15" customHeight="1">
      <c r="A2440" t="inlineStr">
        <is>
          <t>A 41506-2020</t>
        </is>
      </c>
      <c r="B2440" s="1" t="n">
        <v>44074</v>
      </c>
      <c r="C2440" s="1" t="n">
        <v>45211</v>
      </c>
      <c r="D2440" t="inlineStr">
        <is>
          <t>ÖSTERGÖTLANDS LÄN</t>
        </is>
      </c>
      <c r="E2440" t="inlineStr">
        <is>
          <t>ÖDESHÖG</t>
        </is>
      </c>
      <c r="F2440" t="inlineStr">
        <is>
          <t>Allmännings- och besparingsskogar</t>
        </is>
      </c>
      <c r="G2440" t="n">
        <v>1.6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s="2" t="inlineStr"/>
    </row>
    <row r="2441" ht="15" customHeight="1">
      <c r="A2441" t="inlineStr">
        <is>
          <t>A 41528-2020</t>
        </is>
      </c>
      <c r="B2441" s="1" t="n">
        <v>44074</v>
      </c>
      <c r="C2441" s="1" t="n">
        <v>45211</v>
      </c>
      <c r="D2441" t="inlineStr">
        <is>
          <t>ÖSTERGÖTLANDS LÄN</t>
        </is>
      </c>
      <c r="E2441" t="inlineStr">
        <is>
          <t>LINKÖPING</t>
        </is>
      </c>
      <c r="F2441" t="inlineStr">
        <is>
          <t>Allmännings- och besparingsskogar</t>
        </is>
      </c>
      <c r="G2441" t="n">
        <v>10.8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s="2" t="inlineStr"/>
    </row>
    <row r="2442" ht="15" customHeight="1">
      <c r="A2442" t="inlineStr">
        <is>
          <t>A 41540-2020</t>
        </is>
      </c>
      <c r="B2442" s="1" t="n">
        <v>44074</v>
      </c>
      <c r="C2442" s="1" t="n">
        <v>45211</v>
      </c>
      <c r="D2442" t="inlineStr">
        <is>
          <t>ÖSTERGÖTLANDS LÄN</t>
        </is>
      </c>
      <c r="E2442" t="inlineStr">
        <is>
          <t>LINKÖPING</t>
        </is>
      </c>
      <c r="F2442" t="inlineStr">
        <is>
          <t>Allmännings- och besparingsskogar</t>
        </is>
      </c>
      <c r="G2442" t="n">
        <v>2.5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s="2" t="inlineStr"/>
    </row>
    <row r="2443" ht="15" customHeight="1">
      <c r="A2443" t="inlineStr">
        <is>
          <t>A 41599-2020</t>
        </is>
      </c>
      <c r="B2443" s="1" t="n">
        <v>44074</v>
      </c>
      <c r="C2443" s="1" t="n">
        <v>45211</v>
      </c>
      <c r="D2443" t="inlineStr">
        <is>
          <t>ÖSTERGÖTLANDS LÄN</t>
        </is>
      </c>
      <c r="E2443" t="inlineStr">
        <is>
          <t>FINSPÅNG</t>
        </is>
      </c>
      <c r="F2443" t="inlineStr">
        <is>
          <t>Kyrkan</t>
        </is>
      </c>
      <c r="G2443" t="n">
        <v>0.9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s="2" t="inlineStr"/>
    </row>
    <row r="2444" ht="15" customHeight="1">
      <c r="A2444" t="inlineStr">
        <is>
          <t>A 41754-2020</t>
        </is>
      </c>
      <c r="B2444" s="1" t="n">
        <v>44074</v>
      </c>
      <c r="C2444" s="1" t="n">
        <v>45211</v>
      </c>
      <c r="D2444" t="inlineStr">
        <is>
          <t>ÖSTERGÖTLANDS LÄN</t>
        </is>
      </c>
      <c r="E2444" t="inlineStr">
        <is>
          <t>BOXHOLM</t>
        </is>
      </c>
      <c r="F2444" t="inlineStr">
        <is>
          <t>Allmännings- och besparingsskogar</t>
        </is>
      </c>
      <c r="G2444" t="n">
        <v>1.7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s="2" t="inlineStr"/>
    </row>
    <row r="2445" ht="15" customHeight="1">
      <c r="A2445" t="inlineStr">
        <is>
          <t>A 41770-2020</t>
        </is>
      </c>
      <c r="B2445" s="1" t="n">
        <v>44074</v>
      </c>
      <c r="C2445" s="1" t="n">
        <v>45211</v>
      </c>
      <c r="D2445" t="inlineStr">
        <is>
          <t>ÖSTERGÖTLANDS LÄN</t>
        </is>
      </c>
      <c r="E2445" t="inlineStr">
        <is>
          <t>BOXHOLM</t>
        </is>
      </c>
      <c r="F2445" t="inlineStr">
        <is>
          <t>Allmännings- och besparingsskogar</t>
        </is>
      </c>
      <c r="G2445" t="n">
        <v>1.2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s="2" t="inlineStr"/>
    </row>
    <row r="2446" ht="15" customHeight="1">
      <c r="A2446" t="inlineStr">
        <is>
          <t>A 41806-2020</t>
        </is>
      </c>
      <c r="B2446" s="1" t="n">
        <v>44074</v>
      </c>
      <c r="C2446" s="1" t="n">
        <v>45211</v>
      </c>
      <c r="D2446" t="inlineStr">
        <is>
          <t>ÖSTERGÖTLANDS LÄN</t>
        </is>
      </c>
      <c r="E2446" t="inlineStr">
        <is>
          <t>MOTALA</t>
        </is>
      </c>
      <c r="F2446" t="inlineStr">
        <is>
          <t>Sveaskog</t>
        </is>
      </c>
      <c r="G2446" t="n">
        <v>0.9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s="2" t="inlineStr"/>
    </row>
    <row r="2447" ht="15" customHeight="1">
      <c r="A2447" t="inlineStr">
        <is>
          <t>A 41815-2020</t>
        </is>
      </c>
      <c r="B2447" s="1" t="n">
        <v>44074</v>
      </c>
      <c r="C2447" s="1" t="n">
        <v>45211</v>
      </c>
      <c r="D2447" t="inlineStr">
        <is>
          <t>ÖSTERGÖTLANDS LÄN</t>
        </is>
      </c>
      <c r="E2447" t="inlineStr">
        <is>
          <t>YDRE</t>
        </is>
      </c>
      <c r="F2447" t="inlineStr">
        <is>
          <t>Sveaskog</t>
        </is>
      </c>
      <c r="G2447" t="n">
        <v>1.4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s="2" t="inlineStr"/>
    </row>
    <row r="2448" ht="15" customHeight="1">
      <c r="A2448" t="inlineStr">
        <is>
          <t>A 41516-2020</t>
        </is>
      </c>
      <c r="B2448" s="1" t="n">
        <v>44074</v>
      </c>
      <c r="C2448" s="1" t="n">
        <v>45211</v>
      </c>
      <c r="D2448" t="inlineStr">
        <is>
          <t>ÖSTERGÖTLANDS LÄN</t>
        </is>
      </c>
      <c r="E2448" t="inlineStr">
        <is>
          <t>ÖDESHÖG</t>
        </is>
      </c>
      <c r="F2448" t="inlineStr">
        <is>
          <t>Allmännings- och besparingsskogar</t>
        </is>
      </c>
      <c r="G2448" t="n">
        <v>1.8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s="2" t="inlineStr"/>
    </row>
    <row r="2449" ht="15" customHeight="1">
      <c r="A2449" t="inlineStr">
        <is>
          <t>A 41522-2020</t>
        </is>
      </c>
      <c r="B2449" s="1" t="n">
        <v>44074</v>
      </c>
      <c r="C2449" s="1" t="n">
        <v>45211</v>
      </c>
      <c r="D2449" t="inlineStr">
        <is>
          <t>ÖSTERGÖTLANDS LÄN</t>
        </is>
      </c>
      <c r="E2449" t="inlineStr">
        <is>
          <t>ÖDESHÖG</t>
        </is>
      </c>
      <c r="F2449" t="inlineStr">
        <is>
          <t>Allmännings- och besparingsskogar</t>
        </is>
      </c>
      <c r="G2449" t="n">
        <v>1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s="2" t="inlineStr"/>
    </row>
    <row r="2450" ht="15" customHeight="1">
      <c r="A2450" t="inlineStr">
        <is>
          <t>A 41533-2020</t>
        </is>
      </c>
      <c r="B2450" s="1" t="n">
        <v>44074</v>
      </c>
      <c r="C2450" s="1" t="n">
        <v>45211</v>
      </c>
      <c r="D2450" t="inlineStr">
        <is>
          <t>ÖSTERGÖTLANDS LÄN</t>
        </is>
      </c>
      <c r="E2450" t="inlineStr">
        <is>
          <t>BOXHOLM</t>
        </is>
      </c>
      <c r="F2450" t="inlineStr">
        <is>
          <t>Allmännings- och besparingsskogar</t>
        </is>
      </c>
      <c r="G2450" t="n">
        <v>0.8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s="2" t="inlineStr"/>
    </row>
    <row r="2451" ht="15" customHeight="1">
      <c r="A2451" t="inlineStr">
        <is>
          <t>A 41810-2020</t>
        </is>
      </c>
      <c r="B2451" s="1" t="n">
        <v>44074</v>
      </c>
      <c r="C2451" s="1" t="n">
        <v>45211</v>
      </c>
      <c r="D2451" t="inlineStr">
        <is>
          <t>ÖSTERGÖTLANDS LÄN</t>
        </is>
      </c>
      <c r="E2451" t="inlineStr">
        <is>
          <t>ÖDESHÖG</t>
        </is>
      </c>
      <c r="F2451" t="inlineStr">
        <is>
          <t>Allmännings- och besparingsskogar</t>
        </is>
      </c>
      <c r="G2451" t="n">
        <v>1.4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s="2" t="inlineStr"/>
    </row>
    <row r="2452" ht="15" customHeight="1">
      <c r="A2452" t="inlineStr">
        <is>
          <t>A 41819-2020</t>
        </is>
      </c>
      <c r="B2452" s="1" t="n">
        <v>44074</v>
      </c>
      <c r="C2452" s="1" t="n">
        <v>45211</v>
      </c>
      <c r="D2452" t="inlineStr">
        <is>
          <t>ÖSTERGÖTLANDS LÄN</t>
        </is>
      </c>
      <c r="E2452" t="inlineStr">
        <is>
          <t>ÖDESHÖG</t>
        </is>
      </c>
      <c r="F2452" t="inlineStr">
        <is>
          <t>Allmännings- och besparingsskogar</t>
        </is>
      </c>
      <c r="G2452" t="n">
        <v>1.3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s="2" t="inlineStr"/>
    </row>
    <row r="2453" ht="15" customHeight="1">
      <c r="A2453" t="inlineStr">
        <is>
          <t>A 41514-2020</t>
        </is>
      </c>
      <c r="B2453" s="1" t="n">
        <v>44074</v>
      </c>
      <c r="C2453" s="1" t="n">
        <v>45211</v>
      </c>
      <c r="D2453" t="inlineStr">
        <is>
          <t>ÖSTERGÖTLANDS LÄN</t>
        </is>
      </c>
      <c r="E2453" t="inlineStr">
        <is>
          <t>LINKÖPING</t>
        </is>
      </c>
      <c r="F2453" t="inlineStr">
        <is>
          <t>Allmännings- och besparingsskogar</t>
        </is>
      </c>
      <c r="G2453" t="n">
        <v>5.2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s="2" t="inlineStr"/>
    </row>
    <row r="2454" ht="15" customHeight="1">
      <c r="A2454" t="inlineStr">
        <is>
          <t>A 41530-2020</t>
        </is>
      </c>
      <c r="B2454" s="1" t="n">
        <v>44074</v>
      </c>
      <c r="C2454" s="1" t="n">
        <v>45211</v>
      </c>
      <c r="D2454" t="inlineStr">
        <is>
          <t>ÖSTERGÖTLANDS LÄN</t>
        </is>
      </c>
      <c r="E2454" t="inlineStr">
        <is>
          <t>BOXHOLM</t>
        </is>
      </c>
      <c r="F2454" t="inlineStr">
        <is>
          <t>Allmännings- och besparingsskogar</t>
        </is>
      </c>
      <c r="G2454" t="n">
        <v>1.5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s="2" t="inlineStr"/>
    </row>
    <row r="2455" ht="15" customHeight="1">
      <c r="A2455" t="inlineStr">
        <is>
          <t>A 41641-2020</t>
        </is>
      </c>
      <c r="B2455" s="1" t="n">
        <v>44074</v>
      </c>
      <c r="C2455" s="1" t="n">
        <v>45211</v>
      </c>
      <c r="D2455" t="inlineStr">
        <is>
          <t>ÖSTERGÖTLANDS LÄN</t>
        </is>
      </c>
      <c r="E2455" t="inlineStr">
        <is>
          <t>LINKÖPING</t>
        </is>
      </c>
      <c r="F2455" t="inlineStr">
        <is>
          <t>Allmännings- och besparingsskogar</t>
        </is>
      </c>
      <c r="G2455" t="n">
        <v>20.9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s="2" t="inlineStr"/>
    </row>
    <row r="2456" ht="15" customHeight="1">
      <c r="A2456" t="inlineStr">
        <is>
          <t>A 41663-2020</t>
        </is>
      </c>
      <c r="B2456" s="1" t="n">
        <v>44074</v>
      </c>
      <c r="C2456" s="1" t="n">
        <v>45211</v>
      </c>
      <c r="D2456" t="inlineStr">
        <is>
          <t>ÖSTERGÖTLANDS LÄN</t>
        </is>
      </c>
      <c r="E2456" t="inlineStr">
        <is>
          <t>ÖDESHÖG</t>
        </is>
      </c>
      <c r="G2456" t="n">
        <v>6.4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s="2" t="inlineStr"/>
    </row>
    <row r="2457" ht="15" customHeight="1">
      <c r="A2457" t="inlineStr">
        <is>
          <t>A 41759-2020</t>
        </is>
      </c>
      <c r="B2457" s="1" t="n">
        <v>44074</v>
      </c>
      <c r="C2457" s="1" t="n">
        <v>45211</v>
      </c>
      <c r="D2457" t="inlineStr">
        <is>
          <t>ÖSTERGÖTLANDS LÄN</t>
        </is>
      </c>
      <c r="E2457" t="inlineStr">
        <is>
          <t>BOXHOLM</t>
        </is>
      </c>
      <c r="F2457" t="inlineStr">
        <is>
          <t>Allmännings- och besparingsskogar</t>
        </is>
      </c>
      <c r="G2457" t="n">
        <v>1.5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s="2" t="inlineStr"/>
    </row>
    <row r="2458" ht="15" customHeight="1">
      <c r="A2458" t="inlineStr">
        <is>
          <t>A 41809-2020</t>
        </is>
      </c>
      <c r="B2458" s="1" t="n">
        <v>44074</v>
      </c>
      <c r="C2458" s="1" t="n">
        <v>45211</v>
      </c>
      <c r="D2458" t="inlineStr">
        <is>
          <t>ÖSTERGÖTLANDS LÄN</t>
        </is>
      </c>
      <c r="E2458" t="inlineStr">
        <is>
          <t>YDRE</t>
        </is>
      </c>
      <c r="F2458" t="inlineStr">
        <is>
          <t>Sveaskog</t>
        </is>
      </c>
      <c r="G2458" t="n">
        <v>2.6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s="2" t="inlineStr"/>
    </row>
    <row r="2459" ht="15" customHeight="1">
      <c r="A2459" t="inlineStr">
        <is>
          <t>A 41816-2020</t>
        </is>
      </c>
      <c r="B2459" s="1" t="n">
        <v>44074</v>
      </c>
      <c r="C2459" s="1" t="n">
        <v>45211</v>
      </c>
      <c r="D2459" t="inlineStr">
        <is>
          <t>ÖSTERGÖTLANDS LÄN</t>
        </is>
      </c>
      <c r="E2459" t="inlineStr">
        <is>
          <t>ÖDESHÖG</t>
        </is>
      </c>
      <c r="F2459" t="inlineStr">
        <is>
          <t>Allmännings- och besparingsskogar</t>
        </is>
      </c>
      <c r="G2459" t="n">
        <v>1.1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s="2" t="inlineStr"/>
    </row>
    <row r="2460" ht="15" customHeight="1">
      <c r="A2460" t="inlineStr">
        <is>
          <t>A 41518-2020</t>
        </is>
      </c>
      <c r="B2460" s="1" t="n">
        <v>44074</v>
      </c>
      <c r="C2460" s="1" t="n">
        <v>45211</v>
      </c>
      <c r="D2460" t="inlineStr">
        <is>
          <t>ÖSTERGÖTLANDS LÄN</t>
        </is>
      </c>
      <c r="E2460" t="inlineStr">
        <is>
          <t>ÖDESHÖG</t>
        </is>
      </c>
      <c r="F2460" t="inlineStr">
        <is>
          <t>Allmännings- och besparingsskogar</t>
        </is>
      </c>
      <c r="G2460" t="n">
        <v>1.3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s="2" t="inlineStr"/>
    </row>
    <row r="2461" ht="15" customHeight="1">
      <c r="A2461" t="inlineStr">
        <is>
          <t>A 41538-2020</t>
        </is>
      </c>
      <c r="B2461" s="1" t="n">
        <v>44074</v>
      </c>
      <c r="C2461" s="1" t="n">
        <v>45211</v>
      </c>
      <c r="D2461" t="inlineStr">
        <is>
          <t>ÖSTERGÖTLANDS LÄN</t>
        </is>
      </c>
      <c r="E2461" t="inlineStr">
        <is>
          <t>BOXHOLM</t>
        </is>
      </c>
      <c r="F2461" t="inlineStr">
        <is>
          <t>Allmännings- och besparingsskogar</t>
        </is>
      </c>
      <c r="G2461" t="n">
        <v>1.2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s="2" t="inlineStr"/>
    </row>
    <row r="2462" ht="15" customHeight="1">
      <c r="A2462" t="inlineStr">
        <is>
          <t>A 41650-2020</t>
        </is>
      </c>
      <c r="B2462" s="1" t="n">
        <v>44074</v>
      </c>
      <c r="C2462" s="1" t="n">
        <v>45211</v>
      </c>
      <c r="D2462" t="inlineStr">
        <is>
          <t>ÖSTERGÖTLANDS LÄN</t>
        </is>
      </c>
      <c r="E2462" t="inlineStr">
        <is>
          <t>LINKÖPING</t>
        </is>
      </c>
      <c r="F2462" t="inlineStr">
        <is>
          <t>Allmännings- och besparingsskogar</t>
        </is>
      </c>
      <c r="G2462" t="n">
        <v>1.6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s="2" t="inlineStr"/>
    </row>
    <row r="2463" ht="15" customHeight="1">
      <c r="A2463" t="inlineStr">
        <is>
          <t>A 41804-2020</t>
        </is>
      </c>
      <c r="B2463" s="1" t="n">
        <v>44074</v>
      </c>
      <c r="C2463" s="1" t="n">
        <v>45211</v>
      </c>
      <c r="D2463" t="inlineStr">
        <is>
          <t>ÖSTERGÖTLANDS LÄN</t>
        </is>
      </c>
      <c r="E2463" t="inlineStr">
        <is>
          <t>YDRE</t>
        </is>
      </c>
      <c r="F2463" t="inlineStr">
        <is>
          <t>Sveaskog</t>
        </is>
      </c>
      <c r="G2463" t="n">
        <v>2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s="2" t="inlineStr"/>
    </row>
    <row r="2464" ht="15" customHeight="1">
      <c r="A2464" t="inlineStr">
        <is>
          <t>A 41968-2020</t>
        </is>
      </c>
      <c r="B2464" s="1" t="n">
        <v>44075</v>
      </c>
      <c r="C2464" s="1" t="n">
        <v>45211</v>
      </c>
      <c r="D2464" t="inlineStr">
        <is>
          <t>ÖSTERGÖTLANDS LÄN</t>
        </is>
      </c>
      <c r="E2464" t="inlineStr">
        <is>
          <t>FINSPÅNG</t>
        </is>
      </c>
      <c r="G2464" t="n">
        <v>6.1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s="2" t="inlineStr"/>
    </row>
    <row r="2465" ht="15" customHeight="1">
      <c r="A2465" t="inlineStr">
        <is>
          <t>A 42194-2020</t>
        </is>
      </c>
      <c r="B2465" s="1" t="n">
        <v>44075</v>
      </c>
      <c r="C2465" s="1" t="n">
        <v>45211</v>
      </c>
      <c r="D2465" t="inlineStr">
        <is>
          <t>ÖSTERGÖTLANDS LÄN</t>
        </is>
      </c>
      <c r="E2465" t="inlineStr">
        <is>
          <t>FINSPÅNG</t>
        </is>
      </c>
      <c r="G2465" t="n">
        <v>0.8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s="2" t="inlineStr"/>
    </row>
    <row r="2466" ht="15" customHeight="1">
      <c r="A2466" t="inlineStr">
        <is>
          <t>A 42156-2020</t>
        </is>
      </c>
      <c r="B2466" s="1" t="n">
        <v>44075</v>
      </c>
      <c r="C2466" s="1" t="n">
        <v>45211</v>
      </c>
      <c r="D2466" t="inlineStr">
        <is>
          <t>ÖSTERGÖTLANDS LÄN</t>
        </is>
      </c>
      <c r="E2466" t="inlineStr">
        <is>
          <t>ÅTVIDABERG</t>
        </is>
      </c>
      <c r="G2466" t="n">
        <v>0.5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s="2" t="inlineStr"/>
    </row>
    <row r="2467" ht="15" customHeight="1">
      <c r="A2467" t="inlineStr">
        <is>
          <t>A 42195-2020</t>
        </is>
      </c>
      <c r="B2467" s="1" t="n">
        <v>44075</v>
      </c>
      <c r="C2467" s="1" t="n">
        <v>45211</v>
      </c>
      <c r="D2467" t="inlineStr">
        <is>
          <t>ÖSTERGÖTLANDS LÄN</t>
        </is>
      </c>
      <c r="E2467" t="inlineStr">
        <is>
          <t>FINSPÅNG</t>
        </is>
      </c>
      <c r="G2467" t="n">
        <v>0.9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s="2" t="inlineStr"/>
    </row>
    <row r="2468" ht="15" customHeight="1">
      <c r="A2468" t="inlineStr">
        <is>
          <t>A 42218-2020</t>
        </is>
      </c>
      <c r="B2468" s="1" t="n">
        <v>44076</v>
      </c>
      <c r="C2468" s="1" t="n">
        <v>45211</v>
      </c>
      <c r="D2468" t="inlineStr">
        <is>
          <t>ÖSTERGÖTLANDS LÄN</t>
        </is>
      </c>
      <c r="E2468" t="inlineStr">
        <is>
          <t>MJÖLBY</t>
        </is>
      </c>
      <c r="G2468" t="n">
        <v>3.1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s="2" t="inlineStr"/>
    </row>
    <row r="2469" ht="15" customHeight="1">
      <c r="A2469" t="inlineStr">
        <is>
          <t>A 42235-2020</t>
        </is>
      </c>
      <c r="B2469" s="1" t="n">
        <v>44076</v>
      </c>
      <c r="C2469" s="1" t="n">
        <v>45211</v>
      </c>
      <c r="D2469" t="inlineStr">
        <is>
          <t>ÖSTERGÖTLANDS LÄN</t>
        </is>
      </c>
      <c r="E2469" t="inlineStr">
        <is>
          <t>FINSPÅNG</t>
        </is>
      </c>
      <c r="G2469" t="n">
        <v>0.7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s="2" t="inlineStr"/>
    </row>
    <row r="2470" ht="15" customHeight="1">
      <c r="A2470" t="inlineStr">
        <is>
          <t>A 42315-2020</t>
        </is>
      </c>
      <c r="B2470" s="1" t="n">
        <v>44076</v>
      </c>
      <c r="C2470" s="1" t="n">
        <v>45211</v>
      </c>
      <c r="D2470" t="inlineStr">
        <is>
          <t>ÖSTERGÖTLANDS LÄN</t>
        </is>
      </c>
      <c r="E2470" t="inlineStr">
        <is>
          <t>FINSPÅNG</t>
        </is>
      </c>
      <c r="F2470" t="inlineStr">
        <is>
          <t>Övriga Aktiebolag</t>
        </is>
      </c>
      <c r="G2470" t="n">
        <v>2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s="2" t="inlineStr"/>
    </row>
    <row r="2471" ht="15" customHeight="1">
      <c r="A2471" t="inlineStr">
        <is>
          <t>A 42379-2020</t>
        </is>
      </c>
      <c r="B2471" s="1" t="n">
        <v>44076</v>
      </c>
      <c r="C2471" s="1" t="n">
        <v>45211</v>
      </c>
      <c r="D2471" t="inlineStr">
        <is>
          <t>ÖSTERGÖTLANDS LÄN</t>
        </is>
      </c>
      <c r="E2471" t="inlineStr">
        <is>
          <t>KINDA</t>
        </is>
      </c>
      <c r="G2471" t="n">
        <v>5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s="2" t="inlineStr"/>
    </row>
    <row r="2472" ht="15" customHeight="1">
      <c r="A2472" t="inlineStr">
        <is>
          <t>A 42408-2020</t>
        </is>
      </c>
      <c r="B2472" s="1" t="n">
        <v>44076</v>
      </c>
      <c r="C2472" s="1" t="n">
        <v>45211</v>
      </c>
      <c r="D2472" t="inlineStr">
        <is>
          <t>ÖSTERGÖTLANDS LÄN</t>
        </is>
      </c>
      <c r="E2472" t="inlineStr">
        <is>
          <t>ÖDESHÖG</t>
        </is>
      </c>
      <c r="G2472" t="n">
        <v>6.3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s="2" t="inlineStr"/>
    </row>
    <row r="2473" ht="15" customHeight="1">
      <c r="A2473" t="inlineStr">
        <is>
          <t>A 42239-2020</t>
        </is>
      </c>
      <c r="B2473" s="1" t="n">
        <v>44076</v>
      </c>
      <c r="C2473" s="1" t="n">
        <v>45211</v>
      </c>
      <c r="D2473" t="inlineStr">
        <is>
          <t>ÖSTERGÖTLANDS LÄN</t>
        </is>
      </c>
      <c r="E2473" t="inlineStr">
        <is>
          <t>ÖDESHÖG</t>
        </is>
      </c>
      <c r="G2473" t="n">
        <v>0.5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s="2" t="inlineStr"/>
    </row>
    <row r="2474" ht="15" customHeight="1">
      <c r="A2474" t="inlineStr">
        <is>
          <t>A 42413-2020</t>
        </is>
      </c>
      <c r="B2474" s="1" t="n">
        <v>44076</v>
      </c>
      <c r="C2474" s="1" t="n">
        <v>45211</v>
      </c>
      <c r="D2474" t="inlineStr">
        <is>
          <t>ÖSTERGÖTLANDS LÄN</t>
        </is>
      </c>
      <c r="E2474" t="inlineStr">
        <is>
          <t>LINKÖPING</t>
        </is>
      </c>
      <c r="G2474" t="n">
        <v>2.1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s="2" t="inlineStr"/>
    </row>
    <row r="2475" ht="15" customHeight="1">
      <c r="A2475" t="inlineStr">
        <is>
          <t>A 42451-2020</t>
        </is>
      </c>
      <c r="B2475" s="1" t="n">
        <v>44076</v>
      </c>
      <c r="C2475" s="1" t="n">
        <v>45211</v>
      </c>
      <c r="D2475" t="inlineStr">
        <is>
          <t>ÖSTERGÖTLANDS LÄN</t>
        </is>
      </c>
      <c r="E2475" t="inlineStr">
        <is>
          <t>FINSPÅNG</t>
        </is>
      </c>
      <c r="G2475" t="n">
        <v>1.2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s="2" t="inlineStr"/>
    </row>
    <row r="2476" ht="15" customHeight="1">
      <c r="A2476" t="inlineStr">
        <is>
          <t>A 42452-2020</t>
        </is>
      </c>
      <c r="B2476" s="1" t="n">
        <v>44076</v>
      </c>
      <c r="C2476" s="1" t="n">
        <v>45211</v>
      </c>
      <c r="D2476" t="inlineStr">
        <is>
          <t>ÖSTERGÖTLANDS LÄN</t>
        </is>
      </c>
      <c r="E2476" t="inlineStr">
        <is>
          <t>FINSPÅNG</t>
        </is>
      </c>
      <c r="G2476" t="n">
        <v>8.4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s="2" t="inlineStr"/>
    </row>
    <row r="2477" ht="15" customHeight="1">
      <c r="A2477" t="inlineStr">
        <is>
          <t>A 42459-2020</t>
        </is>
      </c>
      <c r="B2477" s="1" t="n">
        <v>44076</v>
      </c>
      <c r="C2477" s="1" t="n">
        <v>45211</v>
      </c>
      <c r="D2477" t="inlineStr">
        <is>
          <t>ÖSTERGÖTLANDS LÄN</t>
        </is>
      </c>
      <c r="E2477" t="inlineStr">
        <is>
          <t>FINSPÅNG</t>
        </is>
      </c>
      <c r="G2477" t="n">
        <v>12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s="2" t="inlineStr"/>
    </row>
    <row r="2478" ht="15" customHeight="1">
      <c r="A2478" t="inlineStr">
        <is>
          <t>A 42513-2020</t>
        </is>
      </c>
      <c r="B2478" s="1" t="n">
        <v>44077</v>
      </c>
      <c r="C2478" s="1" t="n">
        <v>45211</v>
      </c>
      <c r="D2478" t="inlineStr">
        <is>
          <t>ÖSTERGÖTLANDS LÄN</t>
        </is>
      </c>
      <c r="E2478" t="inlineStr">
        <is>
          <t>ÅTVIDABERG</t>
        </is>
      </c>
      <c r="G2478" t="n">
        <v>1.4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s="2" t="inlineStr"/>
    </row>
    <row r="2479" ht="15" customHeight="1">
      <c r="A2479" t="inlineStr">
        <is>
          <t>A 42722-2020</t>
        </is>
      </c>
      <c r="B2479" s="1" t="n">
        <v>44077</v>
      </c>
      <c r="C2479" s="1" t="n">
        <v>45211</v>
      </c>
      <c r="D2479" t="inlineStr">
        <is>
          <t>ÖSTERGÖTLANDS LÄN</t>
        </is>
      </c>
      <c r="E2479" t="inlineStr">
        <is>
          <t>MJÖLBY</t>
        </is>
      </c>
      <c r="G2479" t="n">
        <v>1.2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s="2" t="inlineStr"/>
    </row>
    <row r="2480" ht="15" customHeight="1">
      <c r="A2480" t="inlineStr">
        <is>
          <t>A 42502-2020</t>
        </is>
      </c>
      <c r="B2480" s="1" t="n">
        <v>44077</v>
      </c>
      <c r="C2480" s="1" t="n">
        <v>45211</v>
      </c>
      <c r="D2480" t="inlineStr">
        <is>
          <t>ÖSTERGÖTLANDS LÄN</t>
        </is>
      </c>
      <c r="E2480" t="inlineStr">
        <is>
          <t>LINKÖPING</t>
        </is>
      </c>
      <c r="G2480" t="n">
        <v>1.4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s="2" t="inlineStr"/>
    </row>
    <row r="2481" ht="15" customHeight="1">
      <c r="A2481" t="inlineStr">
        <is>
          <t>A 42516-2020</t>
        </is>
      </c>
      <c r="B2481" s="1" t="n">
        <v>44077</v>
      </c>
      <c r="C2481" s="1" t="n">
        <v>45211</v>
      </c>
      <c r="D2481" t="inlineStr">
        <is>
          <t>ÖSTERGÖTLANDS LÄN</t>
        </is>
      </c>
      <c r="E2481" t="inlineStr">
        <is>
          <t>ÅTVIDABERG</t>
        </is>
      </c>
      <c r="G2481" t="n">
        <v>1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s="2" t="inlineStr"/>
    </row>
    <row r="2482" ht="15" customHeight="1">
      <c r="A2482" t="inlineStr">
        <is>
          <t>A 42574-2020</t>
        </is>
      </c>
      <c r="B2482" s="1" t="n">
        <v>44077</v>
      </c>
      <c r="C2482" s="1" t="n">
        <v>45211</v>
      </c>
      <c r="D2482" t="inlineStr">
        <is>
          <t>ÖSTERGÖTLANDS LÄN</t>
        </is>
      </c>
      <c r="E2482" t="inlineStr">
        <is>
          <t>SÖDERKÖPING</t>
        </is>
      </c>
      <c r="G2482" t="n">
        <v>1.1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s="2" t="inlineStr"/>
    </row>
    <row r="2483" ht="15" customHeight="1">
      <c r="A2483" t="inlineStr">
        <is>
          <t>A 42590-2020</t>
        </is>
      </c>
      <c r="B2483" s="1" t="n">
        <v>44077</v>
      </c>
      <c r="C2483" s="1" t="n">
        <v>45211</v>
      </c>
      <c r="D2483" t="inlineStr">
        <is>
          <t>ÖSTERGÖTLANDS LÄN</t>
        </is>
      </c>
      <c r="E2483" t="inlineStr">
        <is>
          <t>YDRE</t>
        </is>
      </c>
      <c r="F2483" t="inlineStr">
        <is>
          <t>Kyrkan</t>
        </is>
      </c>
      <c r="G2483" t="n">
        <v>3.8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s="2" t="inlineStr"/>
    </row>
    <row r="2484" ht="15" customHeight="1">
      <c r="A2484" t="inlineStr">
        <is>
          <t>A 42697-2020</t>
        </is>
      </c>
      <c r="B2484" s="1" t="n">
        <v>44077</v>
      </c>
      <c r="C2484" s="1" t="n">
        <v>45211</v>
      </c>
      <c r="D2484" t="inlineStr">
        <is>
          <t>ÖSTERGÖTLANDS LÄN</t>
        </is>
      </c>
      <c r="E2484" t="inlineStr">
        <is>
          <t>LINKÖPING</t>
        </is>
      </c>
      <c r="G2484" t="n">
        <v>1.8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s="2" t="inlineStr"/>
    </row>
    <row r="2485" ht="15" customHeight="1">
      <c r="A2485" t="inlineStr">
        <is>
          <t>A 42511-2020</t>
        </is>
      </c>
      <c r="B2485" s="1" t="n">
        <v>44077</v>
      </c>
      <c r="C2485" s="1" t="n">
        <v>45211</v>
      </c>
      <c r="D2485" t="inlineStr">
        <is>
          <t>ÖSTERGÖTLANDS LÄN</t>
        </is>
      </c>
      <c r="E2485" t="inlineStr">
        <is>
          <t>KINDA</t>
        </is>
      </c>
      <c r="F2485" t="inlineStr">
        <is>
          <t>Övriga Aktiebolag</t>
        </is>
      </c>
      <c r="G2485" t="n">
        <v>1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s="2" t="inlineStr"/>
    </row>
    <row r="2486" ht="15" customHeight="1">
      <c r="A2486" t="inlineStr">
        <is>
          <t>A 42720-2020</t>
        </is>
      </c>
      <c r="B2486" s="1" t="n">
        <v>44077</v>
      </c>
      <c r="C2486" s="1" t="n">
        <v>45211</v>
      </c>
      <c r="D2486" t="inlineStr">
        <is>
          <t>ÖSTERGÖTLANDS LÄN</t>
        </is>
      </c>
      <c r="E2486" t="inlineStr">
        <is>
          <t>ÖDESHÖG</t>
        </is>
      </c>
      <c r="G2486" t="n">
        <v>5.1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s="2" t="inlineStr"/>
    </row>
    <row r="2487" ht="15" customHeight="1">
      <c r="A2487" t="inlineStr">
        <is>
          <t>A 42557-2020</t>
        </is>
      </c>
      <c r="B2487" s="1" t="n">
        <v>44077</v>
      </c>
      <c r="C2487" s="1" t="n">
        <v>45211</v>
      </c>
      <c r="D2487" t="inlineStr">
        <is>
          <t>ÖSTERGÖTLANDS LÄN</t>
        </is>
      </c>
      <c r="E2487" t="inlineStr">
        <is>
          <t>LINKÖPING</t>
        </is>
      </c>
      <c r="G2487" t="n">
        <v>0.2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s="2" t="inlineStr"/>
    </row>
    <row r="2488" ht="15" customHeight="1">
      <c r="A2488" t="inlineStr">
        <is>
          <t>A 42649-2020</t>
        </is>
      </c>
      <c r="B2488" s="1" t="n">
        <v>44077</v>
      </c>
      <c r="C2488" s="1" t="n">
        <v>45211</v>
      </c>
      <c r="D2488" t="inlineStr">
        <is>
          <t>ÖSTERGÖTLANDS LÄN</t>
        </is>
      </c>
      <c r="E2488" t="inlineStr">
        <is>
          <t>BOXHOLM</t>
        </is>
      </c>
      <c r="F2488" t="inlineStr">
        <is>
          <t>Övriga Aktiebolag</t>
        </is>
      </c>
      <c r="G2488" t="n">
        <v>0.8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s="2" t="inlineStr"/>
    </row>
    <row r="2489" ht="15" customHeight="1">
      <c r="A2489" t="inlineStr">
        <is>
          <t>A 43339-2020</t>
        </is>
      </c>
      <c r="B2489" s="1" t="n">
        <v>44077</v>
      </c>
      <c r="C2489" s="1" t="n">
        <v>45211</v>
      </c>
      <c r="D2489" t="inlineStr">
        <is>
          <t>ÖSTERGÖTLANDS LÄN</t>
        </is>
      </c>
      <c r="E2489" t="inlineStr">
        <is>
          <t>LINKÖPING</t>
        </is>
      </c>
      <c r="G2489" t="n">
        <v>4.2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s="2" t="inlineStr"/>
    </row>
    <row r="2490" ht="15" customHeight="1">
      <c r="A2490" t="inlineStr">
        <is>
          <t>A 43706-2020</t>
        </is>
      </c>
      <c r="B2490" s="1" t="n">
        <v>44078</v>
      </c>
      <c r="C2490" s="1" t="n">
        <v>45211</v>
      </c>
      <c r="D2490" t="inlineStr">
        <is>
          <t>ÖSTERGÖTLANDS LÄN</t>
        </is>
      </c>
      <c r="E2490" t="inlineStr">
        <is>
          <t>KINDA</t>
        </is>
      </c>
      <c r="G2490" t="n">
        <v>4.4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s="2" t="inlineStr"/>
    </row>
    <row r="2491" ht="15" customHeight="1">
      <c r="A2491" t="inlineStr">
        <is>
          <t>A 43040-2020</t>
        </is>
      </c>
      <c r="B2491" s="1" t="n">
        <v>44078</v>
      </c>
      <c r="C2491" s="1" t="n">
        <v>45211</v>
      </c>
      <c r="D2491" t="inlineStr">
        <is>
          <t>ÖSTERGÖTLANDS LÄN</t>
        </is>
      </c>
      <c r="E2491" t="inlineStr">
        <is>
          <t>ÖDESHÖG</t>
        </is>
      </c>
      <c r="G2491" t="n">
        <v>0.8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s="2" t="inlineStr"/>
    </row>
    <row r="2492" ht="15" customHeight="1">
      <c r="A2492" t="inlineStr">
        <is>
          <t>A 43113-2020</t>
        </is>
      </c>
      <c r="B2492" s="1" t="n">
        <v>44079</v>
      </c>
      <c r="C2492" s="1" t="n">
        <v>45211</v>
      </c>
      <c r="D2492" t="inlineStr">
        <is>
          <t>ÖSTERGÖTLANDS LÄN</t>
        </is>
      </c>
      <c r="E2492" t="inlineStr">
        <is>
          <t>FINSPÅNG</t>
        </is>
      </c>
      <c r="G2492" t="n">
        <v>1.3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s="2" t="inlineStr"/>
    </row>
    <row r="2493" ht="15" customHeight="1">
      <c r="A2493" t="inlineStr">
        <is>
          <t>A 43118-2020</t>
        </is>
      </c>
      <c r="B2493" s="1" t="n">
        <v>44079</v>
      </c>
      <c r="C2493" s="1" t="n">
        <v>45211</v>
      </c>
      <c r="D2493" t="inlineStr">
        <is>
          <t>ÖSTERGÖTLANDS LÄN</t>
        </is>
      </c>
      <c r="E2493" t="inlineStr">
        <is>
          <t>FINSPÅNG</t>
        </is>
      </c>
      <c r="G2493" t="n">
        <v>0.6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s="2" t="inlineStr"/>
    </row>
    <row r="2494" ht="15" customHeight="1">
      <c r="A2494" t="inlineStr">
        <is>
          <t>A 43240-2020</t>
        </is>
      </c>
      <c r="B2494" s="1" t="n">
        <v>44081</v>
      </c>
      <c r="C2494" s="1" t="n">
        <v>45211</v>
      </c>
      <c r="D2494" t="inlineStr">
        <is>
          <t>ÖSTERGÖTLANDS LÄN</t>
        </is>
      </c>
      <c r="E2494" t="inlineStr">
        <is>
          <t>ÅTVIDABERG</t>
        </is>
      </c>
      <c r="G2494" t="n">
        <v>3.2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s="2" t="inlineStr"/>
    </row>
    <row r="2495" ht="15" customHeight="1">
      <c r="A2495" t="inlineStr">
        <is>
          <t>A 43256-2020</t>
        </is>
      </c>
      <c r="B2495" s="1" t="n">
        <v>44081</v>
      </c>
      <c r="C2495" s="1" t="n">
        <v>45211</v>
      </c>
      <c r="D2495" t="inlineStr">
        <is>
          <t>ÖSTERGÖTLANDS LÄN</t>
        </is>
      </c>
      <c r="E2495" t="inlineStr">
        <is>
          <t>MJÖLBY</t>
        </is>
      </c>
      <c r="G2495" t="n">
        <v>7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s="2" t="inlineStr"/>
    </row>
    <row r="2496" ht="15" customHeight="1">
      <c r="A2496" t="inlineStr">
        <is>
          <t>A 43315-2020</t>
        </is>
      </c>
      <c r="B2496" s="1" t="n">
        <v>44081</v>
      </c>
      <c r="C2496" s="1" t="n">
        <v>45211</v>
      </c>
      <c r="D2496" t="inlineStr">
        <is>
          <t>ÖSTERGÖTLANDS LÄN</t>
        </is>
      </c>
      <c r="E2496" t="inlineStr">
        <is>
          <t>BOXHOLM</t>
        </is>
      </c>
      <c r="F2496" t="inlineStr">
        <is>
          <t>Övriga Aktiebolag</t>
        </is>
      </c>
      <c r="G2496" t="n">
        <v>1.3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s="2" t="inlineStr"/>
    </row>
    <row r="2497" ht="15" customHeight="1">
      <c r="A2497" t="inlineStr">
        <is>
          <t>A 43715-2020</t>
        </is>
      </c>
      <c r="B2497" s="1" t="n">
        <v>44082</v>
      </c>
      <c r="C2497" s="1" t="n">
        <v>45211</v>
      </c>
      <c r="D2497" t="inlineStr">
        <is>
          <t>ÖSTERGÖTLANDS LÄN</t>
        </is>
      </c>
      <c r="E2497" t="inlineStr">
        <is>
          <t>SÖDERKÖPING</t>
        </is>
      </c>
      <c r="G2497" t="n">
        <v>2.2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s="2" t="inlineStr"/>
    </row>
    <row r="2498" ht="15" customHeight="1">
      <c r="A2498" t="inlineStr">
        <is>
          <t>A 43731-2020</t>
        </is>
      </c>
      <c r="B2498" s="1" t="n">
        <v>44082</v>
      </c>
      <c r="C2498" s="1" t="n">
        <v>45211</v>
      </c>
      <c r="D2498" t="inlineStr">
        <is>
          <t>ÖSTERGÖTLANDS LÄN</t>
        </is>
      </c>
      <c r="E2498" t="inlineStr">
        <is>
          <t>ÅTVIDABERG</t>
        </is>
      </c>
      <c r="G2498" t="n">
        <v>6.7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s="2" t="inlineStr"/>
    </row>
    <row r="2499" ht="15" customHeight="1">
      <c r="A2499" t="inlineStr">
        <is>
          <t>A 43712-2020</t>
        </is>
      </c>
      <c r="B2499" s="1" t="n">
        <v>44082</v>
      </c>
      <c r="C2499" s="1" t="n">
        <v>45211</v>
      </c>
      <c r="D2499" t="inlineStr">
        <is>
          <t>ÖSTERGÖTLANDS LÄN</t>
        </is>
      </c>
      <c r="E2499" t="inlineStr">
        <is>
          <t>SÖDERKÖPING</t>
        </is>
      </c>
      <c r="G2499" t="n">
        <v>3.2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s="2" t="inlineStr"/>
    </row>
    <row r="2500" ht="15" customHeight="1">
      <c r="A2500" t="inlineStr">
        <is>
          <t>A 43742-2020</t>
        </is>
      </c>
      <c r="B2500" s="1" t="n">
        <v>44082</v>
      </c>
      <c r="C2500" s="1" t="n">
        <v>45211</v>
      </c>
      <c r="D2500" t="inlineStr">
        <is>
          <t>ÖSTERGÖTLANDS LÄN</t>
        </is>
      </c>
      <c r="E2500" t="inlineStr">
        <is>
          <t>ÅTVIDABERG</t>
        </is>
      </c>
      <c r="F2500" t="inlineStr">
        <is>
          <t>Övriga Aktiebolag</t>
        </is>
      </c>
      <c r="G2500" t="n">
        <v>1.9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s="2" t="inlineStr"/>
    </row>
    <row r="2501" ht="15" customHeight="1">
      <c r="A2501" t="inlineStr">
        <is>
          <t>A 43752-2020</t>
        </is>
      </c>
      <c r="B2501" s="1" t="n">
        <v>44082</v>
      </c>
      <c r="C2501" s="1" t="n">
        <v>45211</v>
      </c>
      <c r="D2501" t="inlineStr">
        <is>
          <t>ÖSTERGÖTLANDS LÄN</t>
        </is>
      </c>
      <c r="E2501" t="inlineStr">
        <is>
          <t>BOXHOLM</t>
        </is>
      </c>
      <c r="G2501" t="n">
        <v>1.3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s="2" t="inlineStr"/>
    </row>
    <row r="2502" ht="15" customHeight="1">
      <c r="A2502" t="inlineStr">
        <is>
          <t>A 43793-2020</t>
        </is>
      </c>
      <c r="B2502" s="1" t="n">
        <v>44082</v>
      </c>
      <c r="C2502" s="1" t="n">
        <v>45211</v>
      </c>
      <c r="D2502" t="inlineStr">
        <is>
          <t>ÖSTERGÖTLANDS LÄN</t>
        </is>
      </c>
      <c r="E2502" t="inlineStr">
        <is>
          <t>VALDEMARSVIK</t>
        </is>
      </c>
      <c r="G2502" t="n">
        <v>3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s="2" t="inlineStr"/>
    </row>
    <row r="2503" ht="15" customHeight="1">
      <c r="A2503" t="inlineStr">
        <is>
          <t>A 43581-2020</t>
        </is>
      </c>
      <c r="B2503" s="1" t="n">
        <v>44082</v>
      </c>
      <c r="C2503" s="1" t="n">
        <v>45211</v>
      </c>
      <c r="D2503" t="inlineStr">
        <is>
          <t>ÖSTERGÖTLANDS LÄN</t>
        </is>
      </c>
      <c r="E2503" t="inlineStr">
        <is>
          <t>LINKÖPING</t>
        </is>
      </c>
      <c r="F2503" t="inlineStr">
        <is>
          <t>Sveaskog</t>
        </is>
      </c>
      <c r="G2503" t="n">
        <v>0.8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s="2" t="inlineStr"/>
    </row>
    <row r="2504" ht="15" customHeight="1">
      <c r="A2504" t="inlineStr">
        <is>
          <t>A 43726-2020</t>
        </is>
      </c>
      <c r="B2504" s="1" t="n">
        <v>44082</v>
      </c>
      <c r="C2504" s="1" t="n">
        <v>45211</v>
      </c>
      <c r="D2504" t="inlineStr">
        <is>
          <t>ÖSTERGÖTLANDS LÄN</t>
        </is>
      </c>
      <c r="E2504" t="inlineStr">
        <is>
          <t>LINKÖPING</t>
        </is>
      </c>
      <c r="G2504" t="n">
        <v>1.4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s="2" t="inlineStr"/>
    </row>
    <row r="2505" ht="15" customHeight="1">
      <c r="A2505" t="inlineStr">
        <is>
          <t>A 43740-2020</t>
        </is>
      </c>
      <c r="B2505" s="1" t="n">
        <v>44082</v>
      </c>
      <c r="C2505" s="1" t="n">
        <v>45211</v>
      </c>
      <c r="D2505" t="inlineStr">
        <is>
          <t>ÖSTERGÖTLANDS LÄN</t>
        </is>
      </c>
      <c r="E2505" t="inlineStr">
        <is>
          <t>ÅTVIDABERG</t>
        </is>
      </c>
      <c r="G2505" t="n">
        <v>2.8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s="2" t="inlineStr"/>
    </row>
    <row r="2506" ht="15" customHeight="1">
      <c r="A2506" t="inlineStr">
        <is>
          <t>A 44036-2020</t>
        </is>
      </c>
      <c r="B2506" s="1" t="n">
        <v>44083</v>
      </c>
      <c r="C2506" s="1" t="n">
        <v>45211</v>
      </c>
      <c r="D2506" t="inlineStr">
        <is>
          <t>ÖSTERGÖTLANDS LÄN</t>
        </is>
      </c>
      <c r="E2506" t="inlineStr">
        <is>
          <t>BOXHOLM</t>
        </is>
      </c>
      <c r="G2506" t="n">
        <v>2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s="2" t="inlineStr"/>
    </row>
    <row r="2507" ht="15" customHeight="1">
      <c r="A2507" t="inlineStr">
        <is>
          <t>A 44069-2020</t>
        </is>
      </c>
      <c r="B2507" s="1" t="n">
        <v>44083</v>
      </c>
      <c r="C2507" s="1" t="n">
        <v>45211</v>
      </c>
      <c r="D2507" t="inlineStr">
        <is>
          <t>ÖSTERGÖTLANDS LÄN</t>
        </is>
      </c>
      <c r="E2507" t="inlineStr">
        <is>
          <t>MOTALA</t>
        </is>
      </c>
      <c r="G2507" t="n">
        <v>1.8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s="2" t="inlineStr"/>
    </row>
    <row r="2508" ht="15" customHeight="1">
      <c r="A2508" t="inlineStr">
        <is>
          <t>A 44147-2020</t>
        </is>
      </c>
      <c r="B2508" s="1" t="n">
        <v>44083</v>
      </c>
      <c r="C2508" s="1" t="n">
        <v>45211</v>
      </c>
      <c r="D2508" t="inlineStr">
        <is>
          <t>ÖSTERGÖTLANDS LÄN</t>
        </is>
      </c>
      <c r="E2508" t="inlineStr">
        <is>
          <t>MOTALA</t>
        </is>
      </c>
      <c r="G2508" t="n">
        <v>1.9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s="2" t="inlineStr"/>
    </row>
    <row r="2509" ht="15" customHeight="1">
      <c r="A2509" t="inlineStr">
        <is>
          <t>A 43956-2020</t>
        </is>
      </c>
      <c r="B2509" s="1" t="n">
        <v>44083</v>
      </c>
      <c r="C2509" s="1" t="n">
        <v>45211</v>
      </c>
      <c r="D2509" t="inlineStr">
        <is>
          <t>ÖSTERGÖTLANDS LÄN</t>
        </is>
      </c>
      <c r="E2509" t="inlineStr">
        <is>
          <t>MOTALA</t>
        </is>
      </c>
      <c r="F2509" t="inlineStr">
        <is>
          <t>Sveaskog</t>
        </is>
      </c>
      <c r="G2509" t="n">
        <v>0.6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s="2" t="inlineStr"/>
    </row>
    <row r="2510" ht="15" customHeight="1">
      <c r="A2510" t="inlineStr">
        <is>
          <t>A 44040-2020</t>
        </is>
      </c>
      <c r="B2510" s="1" t="n">
        <v>44083</v>
      </c>
      <c r="C2510" s="1" t="n">
        <v>45211</v>
      </c>
      <c r="D2510" t="inlineStr">
        <is>
          <t>ÖSTERGÖTLANDS LÄN</t>
        </is>
      </c>
      <c r="E2510" t="inlineStr">
        <is>
          <t>NORRKÖPING</t>
        </is>
      </c>
      <c r="G2510" t="n">
        <v>1.5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s="2" t="inlineStr"/>
    </row>
    <row r="2511" ht="15" customHeight="1">
      <c r="A2511" t="inlineStr">
        <is>
          <t>A 44125-2020</t>
        </is>
      </c>
      <c r="B2511" s="1" t="n">
        <v>44083</v>
      </c>
      <c r="C2511" s="1" t="n">
        <v>45211</v>
      </c>
      <c r="D2511" t="inlineStr">
        <is>
          <t>ÖSTERGÖTLANDS LÄN</t>
        </is>
      </c>
      <c r="E2511" t="inlineStr">
        <is>
          <t>YDRE</t>
        </is>
      </c>
      <c r="G2511" t="n">
        <v>0.7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s="2" t="inlineStr"/>
    </row>
    <row r="2512" ht="15" customHeight="1">
      <c r="A2512" t="inlineStr">
        <is>
          <t>A 44389-2020</t>
        </is>
      </c>
      <c r="B2512" s="1" t="n">
        <v>44084</v>
      </c>
      <c r="C2512" s="1" t="n">
        <v>45211</v>
      </c>
      <c r="D2512" t="inlineStr">
        <is>
          <t>ÖSTERGÖTLANDS LÄN</t>
        </is>
      </c>
      <c r="E2512" t="inlineStr">
        <is>
          <t>LINKÖPING</t>
        </is>
      </c>
      <c r="G2512" t="n">
        <v>4.7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s="2" t="inlineStr"/>
    </row>
    <row r="2513" ht="15" customHeight="1">
      <c r="A2513" t="inlineStr">
        <is>
          <t>A 44477-2020</t>
        </is>
      </c>
      <c r="B2513" s="1" t="n">
        <v>44084</v>
      </c>
      <c r="C2513" s="1" t="n">
        <v>45211</v>
      </c>
      <c r="D2513" t="inlineStr">
        <is>
          <t>ÖSTERGÖTLANDS LÄN</t>
        </is>
      </c>
      <c r="E2513" t="inlineStr">
        <is>
          <t>FINSPÅNG</t>
        </is>
      </c>
      <c r="G2513" t="n">
        <v>1.5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s="2" t="inlineStr"/>
    </row>
    <row r="2514" ht="15" customHeight="1">
      <c r="A2514" t="inlineStr">
        <is>
          <t>A 44485-2020</t>
        </is>
      </c>
      <c r="B2514" s="1" t="n">
        <v>44084</v>
      </c>
      <c r="C2514" s="1" t="n">
        <v>45211</v>
      </c>
      <c r="D2514" t="inlineStr">
        <is>
          <t>ÖSTERGÖTLANDS LÄN</t>
        </is>
      </c>
      <c r="E2514" t="inlineStr">
        <is>
          <t>FINSPÅNG</t>
        </is>
      </c>
      <c r="G2514" t="n">
        <v>3.9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s="2" t="inlineStr"/>
    </row>
    <row r="2515" ht="15" customHeight="1">
      <c r="A2515" t="inlineStr">
        <is>
          <t>A 44295-2020</t>
        </is>
      </c>
      <c r="B2515" s="1" t="n">
        <v>44084</v>
      </c>
      <c r="C2515" s="1" t="n">
        <v>45211</v>
      </c>
      <c r="D2515" t="inlineStr">
        <is>
          <t>ÖSTERGÖTLANDS LÄN</t>
        </is>
      </c>
      <c r="E2515" t="inlineStr">
        <is>
          <t>KINDA</t>
        </is>
      </c>
      <c r="G2515" t="n">
        <v>5.2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s="2" t="inlineStr"/>
    </row>
    <row r="2516" ht="15" customHeight="1">
      <c r="A2516" t="inlineStr">
        <is>
          <t>A 44395-2020</t>
        </is>
      </c>
      <c r="B2516" s="1" t="n">
        <v>44084</v>
      </c>
      <c r="C2516" s="1" t="n">
        <v>45211</v>
      </c>
      <c r="D2516" t="inlineStr">
        <is>
          <t>ÖSTERGÖTLANDS LÄN</t>
        </is>
      </c>
      <c r="E2516" t="inlineStr">
        <is>
          <t>ÖDESHÖG</t>
        </is>
      </c>
      <c r="G2516" t="n">
        <v>3.2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s="2" t="inlineStr"/>
    </row>
    <row r="2517" ht="15" customHeight="1">
      <c r="A2517" t="inlineStr">
        <is>
          <t>A 44467-2020</t>
        </is>
      </c>
      <c r="B2517" s="1" t="n">
        <v>44084</v>
      </c>
      <c r="C2517" s="1" t="n">
        <v>45211</v>
      </c>
      <c r="D2517" t="inlineStr">
        <is>
          <t>ÖSTERGÖTLANDS LÄN</t>
        </is>
      </c>
      <c r="E2517" t="inlineStr">
        <is>
          <t>NORRKÖPING</t>
        </is>
      </c>
      <c r="G2517" t="n">
        <v>13.5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s="2" t="inlineStr"/>
    </row>
    <row r="2518" ht="15" customHeight="1">
      <c r="A2518" t="inlineStr">
        <is>
          <t>A 44465-2020</t>
        </is>
      </c>
      <c r="B2518" s="1" t="n">
        <v>44084</v>
      </c>
      <c r="C2518" s="1" t="n">
        <v>45211</v>
      </c>
      <c r="D2518" t="inlineStr">
        <is>
          <t>ÖSTERGÖTLANDS LÄN</t>
        </is>
      </c>
      <c r="E2518" t="inlineStr">
        <is>
          <t>ÖDESHÖG</t>
        </is>
      </c>
      <c r="F2518" t="inlineStr">
        <is>
          <t>Kyrkan</t>
        </is>
      </c>
      <c r="G2518" t="n">
        <v>0.8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s="2" t="inlineStr"/>
    </row>
    <row r="2519" ht="15" customHeight="1">
      <c r="A2519" t="inlineStr">
        <is>
          <t>A 44478-2020</t>
        </is>
      </c>
      <c r="B2519" s="1" t="n">
        <v>44084</v>
      </c>
      <c r="C2519" s="1" t="n">
        <v>45211</v>
      </c>
      <c r="D2519" t="inlineStr">
        <is>
          <t>ÖSTERGÖTLANDS LÄN</t>
        </is>
      </c>
      <c r="E2519" t="inlineStr">
        <is>
          <t>FINSPÅNG</t>
        </is>
      </c>
      <c r="G2519" t="n">
        <v>1.1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s="2" t="inlineStr"/>
    </row>
    <row r="2520" ht="15" customHeight="1">
      <c r="A2520" t="inlineStr">
        <is>
          <t>A 44373-2020</t>
        </is>
      </c>
      <c r="B2520" s="1" t="n">
        <v>44084</v>
      </c>
      <c r="C2520" s="1" t="n">
        <v>45211</v>
      </c>
      <c r="D2520" t="inlineStr">
        <is>
          <t>ÖSTERGÖTLANDS LÄN</t>
        </is>
      </c>
      <c r="E2520" t="inlineStr">
        <is>
          <t>BOXHOLM</t>
        </is>
      </c>
      <c r="G2520" t="n">
        <v>1.4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s="2" t="inlineStr"/>
    </row>
    <row r="2521" ht="15" customHeight="1">
      <c r="A2521" t="inlineStr">
        <is>
          <t>A 44394-2020</t>
        </is>
      </c>
      <c r="B2521" s="1" t="n">
        <v>44084</v>
      </c>
      <c r="C2521" s="1" t="n">
        <v>45211</v>
      </c>
      <c r="D2521" t="inlineStr">
        <is>
          <t>ÖSTERGÖTLANDS LÄN</t>
        </is>
      </c>
      <c r="E2521" t="inlineStr">
        <is>
          <t>KINDA</t>
        </is>
      </c>
      <c r="G2521" t="n">
        <v>5.1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s="2" t="inlineStr"/>
    </row>
    <row r="2522" ht="15" customHeight="1">
      <c r="A2522" t="inlineStr">
        <is>
          <t>A 44480-2020</t>
        </is>
      </c>
      <c r="B2522" s="1" t="n">
        <v>44084</v>
      </c>
      <c r="C2522" s="1" t="n">
        <v>45211</v>
      </c>
      <c r="D2522" t="inlineStr">
        <is>
          <t>ÖSTERGÖTLANDS LÄN</t>
        </is>
      </c>
      <c r="E2522" t="inlineStr">
        <is>
          <t>FINSPÅNG</t>
        </is>
      </c>
      <c r="G2522" t="n">
        <v>0.8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s="2" t="inlineStr"/>
    </row>
    <row r="2523" ht="15" customHeight="1">
      <c r="A2523" t="inlineStr">
        <is>
          <t>A 44735-2020</t>
        </is>
      </c>
      <c r="B2523" s="1" t="n">
        <v>44085</v>
      </c>
      <c r="C2523" s="1" t="n">
        <v>45211</v>
      </c>
      <c r="D2523" t="inlineStr">
        <is>
          <t>ÖSTERGÖTLANDS LÄN</t>
        </is>
      </c>
      <c r="E2523" t="inlineStr">
        <is>
          <t>LINKÖPING</t>
        </is>
      </c>
      <c r="G2523" t="n">
        <v>4.4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s="2" t="inlineStr"/>
    </row>
    <row r="2524" ht="15" customHeight="1">
      <c r="A2524" t="inlineStr">
        <is>
          <t>A 44772-2020</t>
        </is>
      </c>
      <c r="B2524" s="1" t="n">
        <v>44085</v>
      </c>
      <c r="C2524" s="1" t="n">
        <v>45211</v>
      </c>
      <c r="D2524" t="inlineStr">
        <is>
          <t>ÖSTERGÖTLANDS LÄN</t>
        </is>
      </c>
      <c r="E2524" t="inlineStr">
        <is>
          <t>MOTALA</t>
        </is>
      </c>
      <c r="F2524" t="inlineStr">
        <is>
          <t>Övriga statliga verk och myndigheter</t>
        </is>
      </c>
      <c r="G2524" t="n">
        <v>5.2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s="2" t="inlineStr"/>
    </row>
    <row r="2525" ht="15" customHeight="1">
      <c r="A2525" t="inlineStr">
        <is>
          <t>A 44817-2020</t>
        </is>
      </c>
      <c r="B2525" s="1" t="n">
        <v>44085</v>
      </c>
      <c r="C2525" s="1" t="n">
        <v>45211</v>
      </c>
      <c r="D2525" t="inlineStr">
        <is>
          <t>ÖSTERGÖTLANDS LÄN</t>
        </is>
      </c>
      <c r="E2525" t="inlineStr">
        <is>
          <t>FINSPÅNG</t>
        </is>
      </c>
      <c r="G2525" t="n">
        <v>0.5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s="2" t="inlineStr"/>
    </row>
    <row r="2526" ht="15" customHeight="1">
      <c r="A2526" t="inlineStr">
        <is>
          <t>A 44674-2020</t>
        </is>
      </c>
      <c r="B2526" s="1" t="n">
        <v>44085</v>
      </c>
      <c r="C2526" s="1" t="n">
        <v>45211</v>
      </c>
      <c r="D2526" t="inlineStr">
        <is>
          <t>ÖSTERGÖTLANDS LÄN</t>
        </is>
      </c>
      <c r="E2526" t="inlineStr">
        <is>
          <t>LINKÖPING</t>
        </is>
      </c>
      <c r="G2526" t="n">
        <v>3.6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s="2" t="inlineStr"/>
    </row>
    <row r="2527" ht="15" customHeight="1">
      <c r="A2527" t="inlineStr">
        <is>
          <t>A 44739-2020</t>
        </is>
      </c>
      <c r="B2527" s="1" t="n">
        <v>44085</v>
      </c>
      <c r="C2527" s="1" t="n">
        <v>45211</v>
      </c>
      <c r="D2527" t="inlineStr">
        <is>
          <t>ÖSTERGÖTLANDS LÄN</t>
        </is>
      </c>
      <c r="E2527" t="inlineStr">
        <is>
          <t>LINKÖPING</t>
        </is>
      </c>
      <c r="G2527" t="n">
        <v>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s="2" t="inlineStr"/>
    </row>
    <row r="2528" ht="15" customHeight="1">
      <c r="A2528" t="inlineStr">
        <is>
          <t>A 44813-2020</t>
        </is>
      </c>
      <c r="B2528" s="1" t="n">
        <v>44085</v>
      </c>
      <c r="C2528" s="1" t="n">
        <v>45211</v>
      </c>
      <c r="D2528" t="inlineStr">
        <is>
          <t>ÖSTERGÖTLANDS LÄN</t>
        </is>
      </c>
      <c r="E2528" t="inlineStr">
        <is>
          <t>ÅTVIDABERG</t>
        </is>
      </c>
      <c r="G2528" t="n">
        <v>1.5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s="2" t="inlineStr"/>
    </row>
    <row r="2529" ht="15" customHeight="1">
      <c r="A2529" t="inlineStr">
        <is>
          <t>A 44819-2020</t>
        </is>
      </c>
      <c r="B2529" s="1" t="n">
        <v>44085</v>
      </c>
      <c r="C2529" s="1" t="n">
        <v>45211</v>
      </c>
      <c r="D2529" t="inlineStr">
        <is>
          <t>ÖSTERGÖTLANDS LÄN</t>
        </is>
      </c>
      <c r="E2529" t="inlineStr">
        <is>
          <t>FINSPÅNG</t>
        </is>
      </c>
      <c r="G2529" t="n">
        <v>0.5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s="2" t="inlineStr"/>
    </row>
    <row r="2530" ht="15" customHeight="1">
      <c r="A2530" t="inlineStr">
        <is>
          <t>A 44776-2020</t>
        </is>
      </c>
      <c r="B2530" s="1" t="n">
        <v>44085</v>
      </c>
      <c r="C2530" s="1" t="n">
        <v>45211</v>
      </c>
      <c r="D2530" t="inlineStr">
        <is>
          <t>ÖSTERGÖTLANDS LÄN</t>
        </is>
      </c>
      <c r="E2530" t="inlineStr">
        <is>
          <t>MOTALA</t>
        </is>
      </c>
      <c r="F2530" t="inlineStr">
        <is>
          <t>Övriga statliga verk och myndigheter</t>
        </is>
      </c>
      <c r="G2530" t="n">
        <v>1.8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s="2" t="inlineStr"/>
    </row>
    <row r="2531" ht="15" customHeight="1">
      <c r="A2531" t="inlineStr">
        <is>
          <t>A 44821-2020</t>
        </is>
      </c>
      <c r="B2531" s="1" t="n">
        <v>44085</v>
      </c>
      <c r="C2531" s="1" t="n">
        <v>45211</v>
      </c>
      <c r="D2531" t="inlineStr">
        <is>
          <t>ÖSTERGÖTLANDS LÄN</t>
        </is>
      </c>
      <c r="E2531" t="inlineStr">
        <is>
          <t>FINSPÅNG</t>
        </is>
      </c>
      <c r="G2531" t="n">
        <v>4.6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s="2" t="inlineStr"/>
    </row>
    <row r="2532" ht="15" customHeight="1">
      <c r="A2532" t="inlineStr">
        <is>
          <t>A 44535-2020</t>
        </is>
      </c>
      <c r="B2532" s="1" t="n">
        <v>44085</v>
      </c>
      <c r="C2532" s="1" t="n">
        <v>45211</v>
      </c>
      <c r="D2532" t="inlineStr">
        <is>
          <t>ÖSTERGÖTLANDS LÄN</t>
        </is>
      </c>
      <c r="E2532" t="inlineStr">
        <is>
          <t>LINKÖPING</t>
        </is>
      </c>
      <c r="F2532" t="inlineStr">
        <is>
          <t>Övriga Aktiebolag</t>
        </is>
      </c>
      <c r="G2532" t="n">
        <v>1.1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s="2" t="inlineStr"/>
    </row>
    <row r="2533" ht="15" customHeight="1">
      <c r="A2533" t="inlineStr">
        <is>
          <t>A 44827-2020</t>
        </is>
      </c>
      <c r="B2533" s="1" t="n">
        <v>44086</v>
      </c>
      <c r="C2533" s="1" t="n">
        <v>45211</v>
      </c>
      <c r="D2533" t="inlineStr">
        <is>
          <t>ÖSTERGÖTLANDS LÄN</t>
        </is>
      </c>
      <c r="E2533" t="inlineStr">
        <is>
          <t>LINKÖPING</t>
        </is>
      </c>
      <c r="G2533" t="n">
        <v>0.4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s="2" t="inlineStr"/>
    </row>
    <row r="2534" ht="15" customHeight="1">
      <c r="A2534" t="inlineStr">
        <is>
          <t>A 44829-2020</t>
        </is>
      </c>
      <c r="B2534" s="1" t="n">
        <v>44086</v>
      </c>
      <c r="C2534" s="1" t="n">
        <v>45211</v>
      </c>
      <c r="D2534" t="inlineStr">
        <is>
          <t>ÖSTERGÖTLANDS LÄN</t>
        </is>
      </c>
      <c r="E2534" t="inlineStr">
        <is>
          <t>LINKÖPING</t>
        </is>
      </c>
      <c r="G2534" t="n">
        <v>1.9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s="2" t="inlineStr"/>
    </row>
    <row r="2535" ht="15" customHeight="1">
      <c r="A2535" t="inlineStr">
        <is>
          <t>A 44878-2020</t>
        </is>
      </c>
      <c r="B2535" s="1" t="n">
        <v>44087</v>
      </c>
      <c r="C2535" s="1" t="n">
        <v>45211</v>
      </c>
      <c r="D2535" t="inlineStr">
        <is>
          <t>ÖSTERGÖTLANDS LÄN</t>
        </is>
      </c>
      <c r="E2535" t="inlineStr">
        <is>
          <t>YDRE</t>
        </is>
      </c>
      <c r="F2535" t="inlineStr">
        <is>
          <t>Sveaskog</t>
        </is>
      </c>
      <c r="G2535" t="n">
        <v>1.3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s="2" t="inlineStr"/>
    </row>
    <row r="2536" ht="15" customHeight="1">
      <c r="A2536" t="inlineStr">
        <is>
          <t>A 44879-2020</t>
        </is>
      </c>
      <c r="B2536" s="1" t="n">
        <v>44087</v>
      </c>
      <c r="C2536" s="1" t="n">
        <v>45211</v>
      </c>
      <c r="D2536" t="inlineStr">
        <is>
          <t>ÖSTERGÖTLANDS LÄN</t>
        </is>
      </c>
      <c r="E2536" t="inlineStr">
        <is>
          <t>LINKÖPING</t>
        </is>
      </c>
      <c r="F2536" t="inlineStr">
        <is>
          <t>Övriga Aktiebolag</t>
        </is>
      </c>
      <c r="G2536" t="n">
        <v>2.9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s="2" t="inlineStr"/>
    </row>
    <row r="2537" ht="15" customHeight="1">
      <c r="A2537" t="inlineStr">
        <is>
          <t>A 44875-2020</t>
        </is>
      </c>
      <c r="B2537" s="1" t="n">
        <v>44087</v>
      </c>
      <c r="C2537" s="1" t="n">
        <v>45211</v>
      </c>
      <c r="D2537" t="inlineStr">
        <is>
          <t>ÖSTERGÖTLANDS LÄN</t>
        </is>
      </c>
      <c r="E2537" t="inlineStr">
        <is>
          <t>YDRE</t>
        </is>
      </c>
      <c r="F2537" t="inlineStr">
        <is>
          <t>Sveaskog</t>
        </is>
      </c>
      <c r="G2537" t="n">
        <v>2.3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s="2" t="inlineStr"/>
    </row>
    <row r="2538" ht="15" customHeight="1">
      <c r="A2538" t="inlineStr">
        <is>
          <t>A 45194-2020</t>
        </is>
      </c>
      <c r="B2538" s="1" t="n">
        <v>44088</v>
      </c>
      <c r="C2538" s="1" t="n">
        <v>45211</v>
      </c>
      <c r="D2538" t="inlineStr">
        <is>
          <t>ÖSTERGÖTLANDS LÄN</t>
        </is>
      </c>
      <c r="E2538" t="inlineStr">
        <is>
          <t>KINDA</t>
        </is>
      </c>
      <c r="F2538" t="inlineStr">
        <is>
          <t>Övriga Aktiebolag</t>
        </is>
      </c>
      <c r="G2538" t="n">
        <v>1.4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s="2" t="inlineStr"/>
    </row>
    <row r="2539" ht="15" customHeight="1">
      <c r="A2539" t="inlineStr">
        <is>
          <t>A 45208-2020</t>
        </is>
      </c>
      <c r="B2539" s="1" t="n">
        <v>44088</v>
      </c>
      <c r="C2539" s="1" t="n">
        <v>45211</v>
      </c>
      <c r="D2539" t="inlineStr">
        <is>
          <t>ÖSTERGÖTLANDS LÄN</t>
        </is>
      </c>
      <c r="E2539" t="inlineStr">
        <is>
          <t>YDRE</t>
        </is>
      </c>
      <c r="G2539" t="n">
        <v>5.4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s="2" t="inlineStr"/>
    </row>
    <row r="2540" ht="15" customHeight="1">
      <c r="A2540" t="inlineStr">
        <is>
          <t>A 44917-2020</t>
        </is>
      </c>
      <c r="B2540" s="1" t="n">
        <v>44088</v>
      </c>
      <c r="C2540" s="1" t="n">
        <v>45211</v>
      </c>
      <c r="D2540" t="inlineStr">
        <is>
          <t>ÖSTERGÖTLANDS LÄN</t>
        </is>
      </c>
      <c r="E2540" t="inlineStr">
        <is>
          <t>LINKÖPING</t>
        </is>
      </c>
      <c r="G2540" t="n">
        <v>1.2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s="2" t="inlineStr"/>
    </row>
    <row r="2541" ht="15" customHeight="1">
      <c r="A2541" t="inlineStr">
        <is>
          <t>A 46063-2020</t>
        </is>
      </c>
      <c r="B2541" s="1" t="n">
        <v>44088</v>
      </c>
      <c r="C2541" s="1" t="n">
        <v>45211</v>
      </c>
      <c r="D2541" t="inlineStr">
        <is>
          <t>ÖSTERGÖTLANDS LÄN</t>
        </is>
      </c>
      <c r="E2541" t="inlineStr">
        <is>
          <t>FINSPÅNG</t>
        </is>
      </c>
      <c r="G2541" t="n">
        <v>1.5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s="2" t="inlineStr"/>
    </row>
    <row r="2542" ht="15" customHeight="1">
      <c r="A2542" t="inlineStr">
        <is>
          <t>A 45275-2020</t>
        </is>
      </c>
      <c r="B2542" s="1" t="n">
        <v>44089</v>
      </c>
      <c r="C2542" s="1" t="n">
        <v>45211</v>
      </c>
      <c r="D2542" t="inlineStr">
        <is>
          <t>ÖSTERGÖTLANDS LÄN</t>
        </is>
      </c>
      <c r="E2542" t="inlineStr">
        <is>
          <t>YDRE</t>
        </is>
      </c>
      <c r="G2542" t="n">
        <v>1.4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s="2" t="inlineStr"/>
    </row>
    <row r="2543" ht="15" customHeight="1">
      <c r="A2543" t="inlineStr">
        <is>
          <t>A 46803-2020</t>
        </is>
      </c>
      <c r="B2543" s="1" t="n">
        <v>44089</v>
      </c>
      <c r="C2543" s="1" t="n">
        <v>45211</v>
      </c>
      <c r="D2543" t="inlineStr">
        <is>
          <t>ÖSTERGÖTLANDS LÄN</t>
        </is>
      </c>
      <c r="E2543" t="inlineStr">
        <is>
          <t>LINKÖPING</t>
        </is>
      </c>
      <c r="G2543" t="n">
        <v>3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s="2" t="inlineStr"/>
    </row>
    <row r="2544" ht="15" customHeight="1">
      <c r="A2544" t="inlineStr">
        <is>
          <t>A 45457-2020</t>
        </is>
      </c>
      <c r="B2544" s="1" t="n">
        <v>44089</v>
      </c>
      <c r="C2544" s="1" t="n">
        <v>45211</v>
      </c>
      <c r="D2544" t="inlineStr">
        <is>
          <t>ÖSTERGÖTLANDS LÄN</t>
        </is>
      </c>
      <c r="E2544" t="inlineStr">
        <is>
          <t>VALDEMARSVIK</t>
        </is>
      </c>
      <c r="G2544" t="n">
        <v>0.7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s="2" t="inlineStr"/>
    </row>
    <row r="2545" ht="15" customHeight="1">
      <c r="A2545" t="inlineStr">
        <is>
          <t>A 45482-2020</t>
        </is>
      </c>
      <c r="B2545" s="1" t="n">
        <v>44089</v>
      </c>
      <c r="C2545" s="1" t="n">
        <v>45211</v>
      </c>
      <c r="D2545" t="inlineStr">
        <is>
          <t>ÖSTERGÖTLANDS LÄN</t>
        </is>
      </c>
      <c r="E2545" t="inlineStr">
        <is>
          <t>VALDEMARSVIK</t>
        </is>
      </c>
      <c r="G2545" t="n">
        <v>2.3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s="2" t="inlineStr"/>
    </row>
    <row r="2546" ht="15" customHeight="1">
      <c r="A2546" t="inlineStr">
        <is>
          <t>A 45521-2020</t>
        </is>
      </c>
      <c r="B2546" s="1" t="n">
        <v>44089</v>
      </c>
      <c r="C2546" s="1" t="n">
        <v>45211</v>
      </c>
      <c r="D2546" t="inlineStr">
        <is>
          <t>ÖSTERGÖTLANDS LÄN</t>
        </is>
      </c>
      <c r="E2546" t="inlineStr">
        <is>
          <t>NORRKÖPING</t>
        </is>
      </c>
      <c r="F2546" t="inlineStr">
        <is>
          <t>Allmännings- och besparingsskogar</t>
        </is>
      </c>
      <c r="G2546" t="n">
        <v>11.2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s="2" t="inlineStr"/>
    </row>
    <row r="2547" ht="15" customHeight="1">
      <c r="A2547" t="inlineStr">
        <is>
          <t>A 45273-2020</t>
        </is>
      </c>
      <c r="B2547" s="1" t="n">
        <v>44089</v>
      </c>
      <c r="C2547" s="1" t="n">
        <v>45211</v>
      </c>
      <c r="D2547" t="inlineStr">
        <is>
          <t>ÖSTERGÖTLANDS LÄN</t>
        </is>
      </c>
      <c r="E2547" t="inlineStr">
        <is>
          <t>YDRE</t>
        </is>
      </c>
      <c r="G2547" t="n">
        <v>2.7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s="2" t="inlineStr"/>
    </row>
    <row r="2548" ht="15" customHeight="1">
      <c r="A2548" t="inlineStr">
        <is>
          <t>A 45506-2020</t>
        </is>
      </c>
      <c r="B2548" s="1" t="n">
        <v>44089</v>
      </c>
      <c r="C2548" s="1" t="n">
        <v>45211</v>
      </c>
      <c r="D2548" t="inlineStr">
        <is>
          <t>ÖSTERGÖTLANDS LÄN</t>
        </is>
      </c>
      <c r="E2548" t="inlineStr">
        <is>
          <t>LINKÖPING</t>
        </is>
      </c>
      <c r="G2548" t="n">
        <v>1.1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s="2" t="inlineStr"/>
    </row>
    <row r="2549" ht="15" customHeight="1">
      <c r="A2549" t="inlineStr">
        <is>
          <t>A 45522-2020</t>
        </is>
      </c>
      <c r="B2549" s="1" t="n">
        <v>44089</v>
      </c>
      <c r="C2549" s="1" t="n">
        <v>45211</v>
      </c>
      <c r="D2549" t="inlineStr">
        <is>
          <t>ÖSTERGÖTLANDS LÄN</t>
        </is>
      </c>
      <c r="E2549" t="inlineStr">
        <is>
          <t>KINDA</t>
        </is>
      </c>
      <c r="F2549" t="inlineStr">
        <is>
          <t>Allmännings- och besparingsskogar</t>
        </is>
      </c>
      <c r="G2549" t="n">
        <v>5.3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s="2" t="inlineStr"/>
    </row>
    <row r="2550" ht="15" customHeight="1">
      <c r="A2550" t="inlineStr">
        <is>
          <t>A 46969-2020</t>
        </is>
      </c>
      <c r="B2550" s="1" t="n">
        <v>44090</v>
      </c>
      <c r="C2550" s="1" t="n">
        <v>45211</v>
      </c>
      <c r="D2550" t="inlineStr">
        <is>
          <t>ÖSTERGÖTLANDS LÄN</t>
        </is>
      </c>
      <c r="E2550" t="inlineStr">
        <is>
          <t>LINKÖPING</t>
        </is>
      </c>
      <c r="G2550" t="n">
        <v>0.8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s="2" t="inlineStr"/>
    </row>
    <row r="2551" ht="15" customHeight="1">
      <c r="A2551" t="inlineStr">
        <is>
          <t>A 46980-2020</t>
        </is>
      </c>
      <c r="B2551" s="1" t="n">
        <v>44090</v>
      </c>
      <c r="C2551" s="1" t="n">
        <v>45211</v>
      </c>
      <c r="D2551" t="inlineStr">
        <is>
          <t>ÖSTERGÖTLANDS LÄN</t>
        </is>
      </c>
      <c r="E2551" t="inlineStr">
        <is>
          <t>LINKÖPING</t>
        </is>
      </c>
      <c r="G2551" t="n">
        <v>0.6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s="2" t="inlineStr"/>
    </row>
    <row r="2552" ht="15" customHeight="1">
      <c r="A2552" t="inlineStr">
        <is>
          <t>A 45622-2020</t>
        </is>
      </c>
      <c r="B2552" s="1" t="n">
        <v>44090</v>
      </c>
      <c r="C2552" s="1" t="n">
        <v>45211</v>
      </c>
      <c r="D2552" t="inlineStr">
        <is>
          <t>ÖSTERGÖTLANDS LÄN</t>
        </is>
      </c>
      <c r="E2552" t="inlineStr">
        <is>
          <t>KINDA</t>
        </is>
      </c>
      <c r="G2552" t="n">
        <v>4.5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s="2" t="inlineStr"/>
    </row>
    <row r="2553" ht="15" customHeight="1">
      <c r="A2553" t="inlineStr">
        <is>
          <t>A 46975-2020</t>
        </is>
      </c>
      <c r="B2553" s="1" t="n">
        <v>44090</v>
      </c>
      <c r="C2553" s="1" t="n">
        <v>45211</v>
      </c>
      <c r="D2553" t="inlineStr">
        <is>
          <t>ÖSTERGÖTLANDS LÄN</t>
        </is>
      </c>
      <c r="E2553" t="inlineStr">
        <is>
          <t>LINKÖPING</t>
        </is>
      </c>
      <c r="G2553" t="n">
        <v>0.7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s="2" t="inlineStr"/>
    </row>
    <row r="2554" ht="15" customHeight="1">
      <c r="A2554" t="inlineStr">
        <is>
          <t>A 46038-2020</t>
        </is>
      </c>
      <c r="B2554" s="1" t="n">
        <v>44091</v>
      </c>
      <c r="C2554" s="1" t="n">
        <v>45211</v>
      </c>
      <c r="D2554" t="inlineStr">
        <is>
          <t>ÖSTERGÖTLANDS LÄN</t>
        </is>
      </c>
      <c r="E2554" t="inlineStr">
        <is>
          <t>MJÖLBY</t>
        </is>
      </c>
      <c r="G2554" t="n">
        <v>0.6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s="2" t="inlineStr"/>
    </row>
    <row r="2555" ht="15" customHeight="1">
      <c r="A2555" t="inlineStr">
        <is>
          <t>A 46263-2020</t>
        </is>
      </c>
      <c r="B2555" s="1" t="n">
        <v>44092</v>
      </c>
      <c r="C2555" s="1" t="n">
        <v>45211</v>
      </c>
      <c r="D2555" t="inlineStr">
        <is>
          <t>ÖSTERGÖTLANDS LÄN</t>
        </is>
      </c>
      <c r="E2555" t="inlineStr">
        <is>
          <t>KINDA</t>
        </is>
      </c>
      <c r="G2555" t="n">
        <v>0.9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s="2" t="inlineStr"/>
    </row>
    <row r="2556" ht="15" customHeight="1">
      <c r="A2556" t="inlineStr">
        <is>
          <t>A 46316-2020</t>
        </is>
      </c>
      <c r="B2556" s="1" t="n">
        <v>44092</v>
      </c>
      <c r="C2556" s="1" t="n">
        <v>45211</v>
      </c>
      <c r="D2556" t="inlineStr">
        <is>
          <t>ÖSTERGÖTLANDS LÄN</t>
        </is>
      </c>
      <c r="E2556" t="inlineStr">
        <is>
          <t>YDRE</t>
        </is>
      </c>
      <c r="G2556" t="n">
        <v>1.1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s="2" t="inlineStr"/>
    </row>
    <row r="2557" ht="15" customHeight="1">
      <c r="A2557" t="inlineStr">
        <is>
          <t>A 46528-2020</t>
        </is>
      </c>
      <c r="B2557" s="1" t="n">
        <v>44095</v>
      </c>
      <c r="C2557" s="1" t="n">
        <v>45211</v>
      </c>
      <c r="D2557" t="inlineStr">
        <is>
          <t>ÖSTERGÖTLANDS LÄN</t>
        </is>
      </c>
      <c r="E2557" t="inlineStr">
        <is>
          <t>YDRE</t>
        </is>
      </c>
      <c r="G2557" t="n">
        <v>2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s="2" t="inlineStr"/>
    </row>
    <row r="2558" ht="15" customHeight="1">
      <c r="A2558" t="inlineStr">
        <is>
          <t>A 46588-2020</t>
        </is>
      </c>
      <c r="B2558" s="1" t="n">
        <v>44095</v>
      </c>
      <c r="C2558" s="1" t="n">
        <v>45211</v>
      </c>
      <c r="D2558" t="inlineStr">
        <is>
          <t>ÖSTERGÖTLANDS LÄN</t>
        </is>
      </c>
      <c r="E2558" t="inlineStr">
        <is>
          <t>MOTALA</t>
        </is>
      </c>
      <c r="G2558" t="n">
        <v>2.7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s="2" t="inlineStr"/>
    </row>
    <row r="2559" ht="15" customHeight="1">
      <c r="A2559" t="inlineStr">
        <is>
          <t>A 46523-2020</t>
        </is>
      </c>
      <c r="B2559" s="1" t="n">
        <v>44095</v>
      </c>
      <c r="C2559" s="1" t="n">
        <v>45211</v>
      </c>
      <c r="D2559" t="inlineStr">
        <is>
          <t>ÖSTERGÖTLANDS LÄN</t>
        </is>
      </c>
      <c r="E2559" t="inlineStr">
        <is>
          <t>VALDEMARSVIK</t>
        </is>
      </c>
      <c r="G2559" t="n">
        <v>0.6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s="2" t="inlineStr"/>
    </row>
    <row r="2560" ht="15" customHeight="1">
      <c r="A2560" t="inlineStr">
        <is>
          <t>A 47319-2020</t>
        </is>
      </c>
      <c r="B2560" s="1" t="n">
        <v>44095</v>
      </c>
      <c r="C2560" s="1" t="n">
        <v>45211</v>
      </c>
      <c r="D2560" t="inlineStr">
        <is>
          <t>ÖSTERGÖTLANDS LÄN</t>
        </is>
      </c>
      <c r="E2560" t="inlineStr">
        <is>
          <t>LINKÖPING</t>
        </is>
      </c>
      <c r="F2560" t="inlineStr">
        <is>
          <t>Kommuner</t>
        </is>
      </c>
      <c r="G2560" t="n">
        <v>1.3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s="2" t="inlineStr"/>
    </row>
    <row r="2561" ht="15" customHeight="1">
      <c r="A2561" t="inlineStr">
        <is>
          <t>A 46590-2020</t>
        </is>
      </c>
      <c r="B2561" s="1" t="n">
        <v>44095</v>
      </c>
      <c r="C2561" s="1" t="n">
        <v>45211</v>
      </c>
      <c r="D2561" t="inlineStr">
        <is>
          <t>ÖSTERGÖTLANDS LÄN</t>
        </is>
      </c>
      <c r="E2561" t="inlineStr">
        <is>
          <t>MOTALA</t>
        </is>
      </c>
      <c r="G2561" t="n">
        <v>1.1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s="2" t="inlineStr"/>
    </row>
    <row r="2562" ht="15" customHeight="1">
      <c r="A2562" t="inlineStr">
        <is>
          <t>A 46720-2020</t>
        </is>
      </c>
      <c r="B2562" s="1" t="n">
        <v>44095</v>
      </c>
      <c r="C2562" s="1" t="n">
        <v>45211</v>
      </c>
      <c r="D2562" t="inlineStr">
        <is>
          <t>ÖSTERGÖTLANDS LÄN</t>
        </is>
      </c>
      <c r="E2562" t="inlineStr">
        <is>
          <t>ÅTVIDABERG</t>
        </is>
      </c>
      <c r="G2562" t="n">
        <v>1.4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s="2" t="inlineStr"/>
    </row>
    <row r="2563" ht="15" customHeight="1">
      <c r="A2563" t="inlineStr">
        <is>
          <t>A 46739-2020</t>
        </is>
      </c>
      <c r="B2563" s="1" t="n">
        <v>44095</v>
      </c>
      <c r="C2563" s="1" t="n">
        <v>45211</v>
      </c>
      <c r="D2563" t="inlineStr">
        <is>
          <t>ÖSTERGÖTLANDS LÄN</t>
        </is>
      </c>
      <c r="E2563" t="inlineStr">
        <is>
          <t>YDRE</t>
        </is>
      </c>
      <c r="G2563" t="n">
        <v>0.8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s="2" t="inlineStr"/>
    </row>
    <row r="2564" ht="15" customHeight="1">
      <c r="A2564" t="inlineStr">
        <is>
          <t>A 46571-2020</t>
        </is>
      </c>
      <c r="B2564" s="1" t="n">
        <v>44095</v>
      </c>
      <c r="C2564" s="1" t="n">
        <v>45211</v>
      </c>
      <c r="D2564" t="inlineStr">
        <is>
          <t>ÖSTERGÖTLANDS LÄN</t>
        </is>
      </c>
      <c r="E2564" t="inlineStr">
        <is>
          <t>NORRKÖPING</t>
        </is>
      </c>
      <c r="G2564" t="n">
        <v>3.4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s="2" t="inlineStr"/>
    </row>
    <row r="2565" ht="15" customHeight="1">
      <c r="A2565" t="inlineStr">
        <is>
          <t>A 46591-2020</t>
        </is>
      </c>
      <c r="B2565" s="1" t="n">
        <v>44095</v>
      </c>
      <c r="C2565" s="1" t="n">
        <v>45211</v>
      </c>
      <c r="D2565" t="inlineStr">
        <is>
          <t>ÖSTERGÖTLANDS LÄN</t>
        </is>
      </c>
      <c r="E2565" t="inlineStr">
        <is>
          <t>KINDA</t>
        </is>
      </c>
      <c r="G2565" t="n">
        <v>0.4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s="2" t="inlineStr"/>
    </row>
    <row r="2566" ht="15" customHeight="1">
      <c r="A2566" t="inlineStr">
        <is>
          <t>A 46724-2020</t>
        </is>
      </c>
      <c r="B2566" s="1" t="n">
        <v>44095</v>
      </c>
      <c r="C2566" s="1" t="n">
        <v>45211</v>
      </c>
      <c r="D2566" t="inlineStr">
        <is>
          <t>ÖSTERGÖTLANDS LÄN</t>
        </is>
      </c>
      <c r="E2566" t="inlineStr">
        <is>
          <t>MOTALA</t>
        </is>
      </c>
      <c r="G2566" t="n">
        <v>0.9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s="2" t="inlineStr"/>
    </row>
    <row r="2567" ht="15" customHeight="1">
      <c r="A2567" t="inlineStr">
        <is>
          <t>A 46753-2020</t>
        </is>
      </c>
      <c r="B2567" s="1" t="n">
        <v>44095</v>
      </c>
      <c r="C2567" s="1" t="n">
        <v>45211</v>
      </c>
      <c r="D2567" t="inlineStr">
        <is>
          <t>ÖSTERGÖTLANDS LÄN</t>
        </is>
      </c>
      <c r="E2567" t="inlineStr">
        <is>
          <t>ÅTVIDABERG</t>
        </is>
      </c>
      <c r="G2567" t="n">
        <v>1.4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s="2" t="inlineStr"/>
    </row>
    <row r="2568" ht="15" customHeight="1">
      <c r="A2568" t="inlineStr">
        <is>
          <t>A 47346-2020</t>
        </is>
      </c>
      <c r="B2568" s="1" t="n">
        <v>44095</v>
      </c>
      <c r="C2568" s="1" t="n">
        <v>45211</v>
      </c>
      <c r="D2568" t="inlineStr">
        <is>
          <t>ÖSTERGÖTLANDS LÄN</t>
        </is>
      </c>
      <c r="E2568" t="inlineStr">
        <is>
          <t>LINKÖPING</t>
        </is>
      </c>
      <c r="F2568" t="inlineStr">
        <is>
          <t>Kommuner</t>
        </is>
      </c>
      <c r="G2568" t="n">
        <v>2.4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s="2" t="inlineStr"/>
    </row>
    <row r="2569" ht="15" customHeight="1">
      <c r="A2569" t="inlineStr">
        <is>
          <t>A 46841-2020</t>
        </is>
      </c>
      <c r="B2569" s="1" t="n">
        <v>44096</v>
      </c>
      <c r="C2569" s="1" t="n">
        <v>45211</v>
      </c>
      <c r="D2569" t="inlineStr">
        <is>
          <t>ÖSTERGÖTLANDS LÄN</t>
        </is>
      </c>
      <c r="E2569" t="inlineStr">
        <is>
          <t>NORRKÖPING</t>
        </is>
      </c>
      <c r="G2569" t="n">
        <v>11.5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s="2" t="inlineStr"/>
    </row>
    <row r="2570" ht="15" customHeight="1">
      <c r="A2570" t="inlineStr">
        <is>
          <t>A 47067-2020</t>
        </is>
      </c>
      <c r="B2570" s="1" t="n">
        <v>44096</v>
      </c>
      <c r="C2570" s="1" t="n">
        <v>45211</v>
      </c>
      <c r="D2570" t="inlineStr">
        <is>
          <t>ÖSTERGÖTLANDS LÄN</t>
        </is>
      </c>
      <c r="E2570" t="inlineStr">
        <is>
          <t>NORRKÖPING</t>
        </is>
      </c>
      <c r="G2570" t="n">
        <v>3.3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s="2" t="inlineStr"/>
    </row>
    <row r="2571" ht="15" customHeight="1">
      <c r="A2571" t="inlineStr">
        <is>
          <t>A 47552-2020</t>
        </is>
      </c>
      <c r="B2571" s="1" t="n">
        <v>44096</v>
      </c>
      <c r="C2571" s="1" t="n">
        <v>45211</v>
      </c>
      <c r="D2571" t="inlineStr">
        <is>
          <t>ÖSTERGÖTLANDS LÄN</t>
        </is>
      </c>
      <c r="E2571" t="inlineStr">
        <is>
          <t>NORRKÖPING</t>
        </is>
      </c>
      <c r="G2571" t="n">
        <v>6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s="2" t="inlineStr"/>
    </row>
    <row r="2572" ht="15" customHeight="1">
      <c r="A2572" t="inlineStr">
        <is>
          <t>A 47421-2020</t>
        </is>
      </c>
      <c r="B2572" s="1" t="n">
        <v>44097</v>
      </c>
      <c r="C2572" s="1" t="n">
        <v>45211</v>
      </c>
      <c r="D2572" t="inlineStr">
        <is>
          <t>ÖSTERGÖTLANDS LÄN</t>
        </is>
      </c>
      <c r="E2572" t="inlineStr">
        <is>
          <t>VALDEMARSVIK</t>
        </is>
      </c>
      <c r="G2572" t="n">
        <v>4.3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s="2" t="inlineStr"/>
    </row>
    <row r="2573" ht="15" customHeight="1">
      <c r="A2573" t="inlineStr">
        <is>
          <t>A 47262-2020</t>
        </is>
      </c>
      <c r="B2573" s="1" t="n">
        <v>44097</v>
      </c>
      <c r="C2573" s="1" t="n">
        <v>45211</v>
      </c>
      <c r="D2573" t="inlineStr">
        <is>
          <t>ÖSTERGÖTLANDS LÄN</t>
        </is>
      </c>
      <c r="E2573" t="inlineStr">
        <is>
          <t>MOTALA</t>
        </is>
      </c>
      <c r="G2573" t="n">
        <v>1.5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s="2" t="inlineStr"/>
    </row>
    <row r="2574" ht="15" customHeight="1">
      <c r="A2574" t="inlineStr">
        <is>
          <t>A 47390-2020</t>
        </is>
      </c>
      <c r="B2574" s="1" t="n">
        <v>44097</v>
      </c>
      <c r="C2574" s="1" t="n">
        <v>45211</v>
      </c>
      <c r="D2574" t="inlineStr">
        <is>
          <t>ÖSTERGÖTLANDS LÄN</t>
        </is>
      </c>
      <c r="E2574" t="inlineStr">
        <is>
          <t>FINSPÅNG</t>
        </is>
      </c>
      <c r="F2574" t="inlineStr">
        <is>
          <t>Holmen skog AB</t>
        </is>
      </c>
      <c r="G2574" t="n">
        <v>0.8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s="2" t="inlineStr"/>
    </row>
    <row r="2575" ht="15" customHeight="1">
      <c r="A2575" t="inlineStr">
        <is>
          <t>A 47404-2020</t>
        </is>
      </c>
      <c r="B2575" s="1" t="n">
        <v>44097</v>
      </c>
      <c r="C2575" s="1" t="n">
        <v>45211</v>
      </c>
      <c r="D2575" t="inlineStr">
        <is>
          <t>ÖSTERGÖTLANDS LÄN</t>
        </is>
      </c>
      <c r="E2575" t="inlineStr">
        <is>
          <t>VALDEMARSVIK</t>
        </is>
      </c>
      <c r="G2575" t="n">
        <v>3.1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s="2" t="inlineStr"/>
    </row>
    <row r="2576" ht="15" customHeight="1">
      <c r="A2576" t="inlineStr">
        <is>
          <t>A 47418-2020</t>
        </is>
      </c>
      <c r="B2576" s="1" t="n">
        <v>44097</v>
      </c>
      <c r="C2576" s="1" t="n">
        <v>45211</v>
      </c>
      <c r="D2576" t="inlineStr">
        <is>
          <t>ÖSTERGÖTLANDS LÄN</t>
        </is>
      </c>
      <c r="E2576" t="inlineStr">
        <is>
          <t>VALDEMARSVIK</t>
        </is>
      </c>
      <c r="G2576" t="n">
        <v>3.3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s="2" t="inlineStr"/>
    </row>
    <row r="2577" ht="15" customHeight="1">
      <c r="A2577" t="inlineStr">
        <is>
          <t>A 47364-2020</t>
        </is>
      </c>
      <c r="B2577" s="1" t="n">
        <v>44097</v>
      </c>
      <c r="C2577" s="1" t="n">
        <v>45211</v>
      </c>
      <c r="D2577" t="inlineStr">
        <is>
          <t>ÖSTERGÖTLANDS LÄN</t>
        </is>
      </c>
      <c r="E2577" t="inlineStr">
        <is>
          <t>LINKÖPING</t>
        </is>
      </c>
      <c r="G2577" t="n">
        <v>1.2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s="2" t="inlineStr"/>
    </row>
    <row r="2578" ht="15" customHeight="1">
      <c r="A2578" t="inlineStr">
        <is>
          <t>A 47651-2020</t>
        </is>
      </c>
      <c r="B2578" s="1" t="n">
        <v>44098</v>
      </c>
      <c r="C2578" s="1" t="n">
        <v>45211</v>
      </c>
      <c r="D2578" t="inlineStr">
        <is>
          <t>ÖSTERGÖTLANDS LÄN</t>
        </is>
      </c>
      <c r="E2578" t="inlineStr">
        <is>
          <t>NORRKÖPING</t>
        </is>
      </c>
      <c r="G2578" t="n">
        <v>1.3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s="2" t="inlineStr"/>
    </row>
    <row r="2579" ht="15" customHeight="1">
      <c r="A2579" t="inlineStr">
        <is>
          <t>A 47655-2020</t>
        </is>
      </c>
      <c r="B2579" s="1" t="n">
        <v>44098</v>
      </c>
      <c r="C2579" s="1" t="n">
        <v>45211</v>
      </c>
      <c r="D2579" t="inlineStr">
        <is>
          <t>ÖSTERGÖTLANDS LÄN</t>
        </is>
      </c>
      <c r="E2579" t="inlineStr">
        <is>
          <t>BOXHOLM</t>
        </is>
      </c>
      <c r="F2579" t="inlineStr">
        <is>
          <t>Övriga Aktiebolag</t>
        </is>
      </c>
      <c r="G2579" t="n">
        <v>1.9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s="2" t="inlineStr"/>
    </row>
    <row r="2580" ht="15" customHeight="1">
      <c r="A2580" t="inlineStr">
        <is>
          <t>A 47876-2020</t>
        </is>
      </c>
      <c r="B2580" s="1" t="n">
        <v>44099</v>
      </c>
      <c r="C2580" s="1" t="n">
        <v>45211</v>
      </c>
      <c r="D2580" t="inlineStr">
        <is>
          <t>ÖSTERGÖTLANDS LÄN</t>
        </is>
      </c>
      <c r="E2580" t="inlineStr">
        <is>
          <t>LINKÖPING</t>
        </is>
      </c>
      <c r="G2580" t="n">
        <v>0.9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s="2" t="inlineStr"/>
    </row>
    <row r="2581" ht="15" customHeight="1">
      <c r="A2581" t="inlineStr">
        <is>
          <t>A 47959-2020</t>
        </is>
      </c>
      <c r="B2581" s="1" t="n">
        <v>44099</v>
      </c>
      <c r="C2581" s="1" t="n">
        <v>45211</v>
      </c>
      <c r="D2581" t="inlineStr">
        <is>
          <t>ÖSTERGÖTLANDS LÄN</t>
        </is>
      </c>
      <c r="E2581" t="inlineStr">
        <is>
          <t>KINDA</t>
        </is>
      </c>
      <c r="F2581" t="inlineStr">
        <is>
          <t>Övriga Aktiebolag</t>
        </is>
      </c>
      <c r="G2581" t="n">
        <v>2.3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s="2" t="inlineStr"/>
    </row>
    <row r="2582" ht="15" customHeight="1">
      <c r="A2582" t="inlineStr">
        <is>
          <t>A 48012-2020</t>
        </is>
      </c>
      <c r="B2582" s="1" t="n">
        <v>44099</v>
      </c>
      <c r="C2582" s="1" t="n">
        <v>45211</v>
      </c>
      <c r="D2582" t="inlineStr">
        <is>
          <t>ÖSTERGÖTLANDS LÄN</t>
        </is>
      </c>
      <c r="E2582" t="inlineStr">
        <is>
          <t>FINSPÅNG</t>
        </is>
      </c>
      <c r="F2582" t="inlineStr">
        <is>
          <t>Sveaskog</t>
        </is>
      </c>
      <c r="G2582" t="n">
        <v>7.2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s="2" t="inlineStr"/>
    </row>
    <row r="2583" ht="15" customHeight="1">
      <c r="A2583" t="inlineStr">
        <is>
          <t>A 48015-2020</t>
        </is>
      </c>
      <c r="B2583" s="1" t="n">
        <v>44099</v>
      </c>
      <c r="C2583" s="1" t="n">
        <v>45211</v>
      </c>
      <c r="D2583" t="inlineStr">
        <is>
          <t>ÖSTERGÖTLANDS LÄN</t>
        </is>
      </c>
      <c r="E2583" t="inlineStr">
        <is>
          <t>FINSPÅNG</t>
        </is>
      </c>
      <c r="F2583" t="inlineStr">
        <is>
          <t>Sveaskog</t>
        </is>
      </c>
      <c r="G2583" t="n">
        <v>1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s="2" t="inlineStr"/>
    </row>
    <row r="2584" ht="15" customHeight="1">
      <c r="A2584" t="inlineStr">
        <is>
          <t>A 48070-2020</t>
        </is>
      </c>
      <c r="B2584" s="1" t="n">
        <v>44100</v>
      </c>
      <c r="C2584" s="1" t="n">
        <v>45211</v>
      </c>
      <c r="D2584" t="inlineStr">
        <is>
          <t>ÖSTERGÖTLANDS LÄN</t>
        </is>
      </c>
      <c r="E2584" t="inlineStr">
        <is>
          <t>KINDA</t>
        </is>
      </c>
      <c r="F2584" t="inlineStr">
        <is>
          <t>Övriga Aktiebolag</t>
        </is>
      </c>
      <c r="G2584" t="n">
        <v>1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s="2" t="inlineStr"/>
    </row>
    <row r="2585" ht="15" customHeight="1">
      <c r="A2585" t="inlineStr">
        <is>
          <t>A 48429-2020</t>
        </is>
      </c>
      <c r="B2585" s="1" t="n">
        <v>44102</v>
      </c>
      <c r="C2585" s="1" t="n">
        <v>45211</v>
      </c>
      <c r="D2585" t="inlineStr">
        <is>
          <t>ÖSTERGÖTLANDS LÄN</t>
        </is>
      </c>
      <c r="E2585" t="inlineStr">
        <is>
          <t>SÖDERKÖPING</t>
        </is>
      </c>
      <c r="F2585" t="inlineStr">
        <is>
          <t>Allmännings- och besparingsskogar</t>
        </is>
      </c>
      <c r="G2585" t="n">
        <v>6.5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s="2" t="inlineStr"/>
    </row>
    <row r="2586" ht="15" customHeight="1">
      <c r="A2586" t="inlineStr">
        <is>
          <t>A 48273-2020</t>
        </is>
      </c>
      <c r="B2586" s="1" t="n">
        <v>44102</v>
      </c>
      <c r="C2586" s="1" t="n">
        <v>45211</v>
      </c>
      <c r="D2586" t="inlineStr">
        <is>
          <t>ÖSTERGÖTLANDS LÄN</t>
        </is>
      </c>
      <c r="E2586" t="inlineStr">
        <is>
          <t>FINSPÅNG</t>
        </is>
      </c>
      <c r="G2586" t="n">
        <v>2.2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s="2" t="inlineStr"/>
    </row>
    <row r="2587" ht="15" customHeight="1">
      <c r="A2587" t="inlineStr">
        <is>
          <t>A 48427-2020</t>
        </is>
      </c>
      <c r="B2587" s="1" t="n">
        <v>44102</v>
      </c>
      <c r="C2587" s="1" t="n">
        <v>45211</v>
      </c>
      <c r="D2587" t="inlineStr">
        <is>
          <t>ÖSTERGÖTLANDS LÄN</t>
        </is>
      </c>
      <c r="E2587" t="inlineStr">
        <is>
          <t>SÖDERKÖPING</t>
        </is>
      </c>
      <c r="F2587" t="inlineStr">
        <is>
          <t>Allmännings- och besparingsskogar</t>
        </is>
      </c>
      <c r="G2587" t="n">
        <v>7.2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s="2" t="inlineStr"/>
    </row>
    <row r="2588" ht="15" customHeight="1">
      <c r="A2588" t="inlineStr">
        <is>
          <t>A 48341-2020</t>
        </is>
      </c>
      <c r="B2588" s="1" t="n">
        <v>44102</v>
      </c>
      <c r="C2588" s="1" t="n">
        <v>45211</v>
      </c>
      <c r="D2588" t="inlineStr">
        <is>
          <t>ÖSTERGÖTLANDS LÄN</t>
        </is>
      </c>
      <c r="E2588" t="inlineStr">
        <is>
          <t>YDRE</t>
        </is>
      </c>
      <c r="G2588" t="n">
        <v>1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s="2" t="inlineStr"/>
    </row>
    <row r="2589" ht="15" customHeight="1">
      <c r="A2589" t="inlineStr">
        <is>
          <t>A 48497-2020</t>
        </is>
      </c>
      <c r="B2589" s="1" t="n">
        <v>44102</v>
      </c>
      <c r="C2589" s="1" t="n">
        <v>45211</v>
      </c>
      <c r="D2589" t="inlineStr">
        <is>
          <t>ÖSTERGÖTLANDS LÄN</t>
        </is>
      </c>
      <c r="E2589" t="inlineStr">
        <is>
          <t>ÅTVIDABERG</t>
        </is>
      </c>
      <c r="G2589" t="n">
        <v>1.9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s="2" t="inlineStr"/>
    </row>
    <row r="2590" ht="15" customHeight="1">
      <c r="A2590" t="inlineStr">
        <is>
          <t>A 48621-2020</t>
        </is>
      </c>
      <c r="B2590" s="1" t="n">
        <v>44103</v>
      </c>
      <c r="C2590" s="1" t="n">
        <v>45211</v>
      </c>
      <c r="D2590" t="inlineStr">
        <is>
          <t>ÖSTERGÖTLANDS LÄN</t>
        </is>
      </c>
      <c r="E2590" t="inlineStr">
        <is>
          <t>MOTALA</t>
        </is>
      </c>
      <c r="F2590" t="inlineStr">
        <is>
          <t>Kommuner</t>
        </is>
      </c>
      <c r="G2590" t="n">
        <v>0.5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s="2" t="inlineStr"/>
    </row>
    <row r="2591" ht="15" customHeight="1">
      <c r="A2591" t="inlineStr">
        <is>
          <t>A 48674-2020</t>
        </is>
      </c>
      <c r="B2591" s="1" t="n">
        <v>44103</v>
      </c>
      <c r="C2591" s="1" t="n">
        <v>45211</v>
      </c>
      <c r="D2591" t="inlineStr">
        <is>
          <t>ÖSTERGÖTLANDS LÄN</t>
        </is>
      </c>
      <c r="E2591" t="inlineStr">
        <is>
          <t>FINSPÅNG</t>
        </is>
      </c>
      <c r="G2591" t="n">
        <v>8.199999999999999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s="2" t="inlineStr"/>
    </row>
    <row r="2592" ht="15" customHeight="1">
      <c r="A2592" t="inlineStr">
        <is>
          <t>A 48510-2020</t>
        </is>
      </c>
      <c r="B2592" s="1" t="n">
        <v>44103</v>
      </c>
      <c r="C2592" s="1" t="n">
        <v>45211</v>
      </c>
      <c r="D2592" t="inlineStr">
        <is>
          <t>ÖSTERGÖTLANDS LÄN</t>
        </is>
      </c>
      <c r="E2592" t="inlineStr">
        <is>
          <t>MJÖLBY</t>
        </is>
      </c>
      <c r="G2592" t="n">
        <v>1.1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s="2" t="inlineStr"/>
    </row>
    <row r="2593" ht="15" customHeight="1">
      <c r="A2593" t="inlineStr">
        <is>
          <t>A 49620-2020</t>
        </is>
      </c>
      <c r="B2593" s="1" t="n">
        <v>44103</v>
      </c>
      <c r="C2593" s="1" t="n">
        <v>45211</v>
      </c>
      <c r="D2593" t="inlineStr">
        <is>
          <t>ÖSTERGÖTLANDS LÄN</t>
        </is>
      </c>
      <c r="E2593" t="inlineStr">
        <is>
          <t>FINSPÅNG</t>
        </is>
      </c>
      <c r="G2593" t="n">
        <v>1.3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s="2" t="inlineStr"/>
    </row>
    <row r="2594" ht="15" customHeight="1">
      <c r="A2594" t="inlineStr">
        <is>
          <t>A 48655-2020</t>
        </is>
      </c>
      <c r="B2594" s="1" t="n">
        <v>44103</v>
      </c>
      <c r="C2594" s="1" t="n">
        <v>45211</v>
      </c>
      <c r="D2594" t="inlineStr">
        <is>
          <t>ÖSTERGÖTLANDS LÄN</t>
        </is>
      </c>
      <c r="E2594" t="inlineStr">
        <is>
          <t>NORRKÖPING</t>
        </is>
      </c>
      <c r="F2594" t="inlineStr">
        <is>
          <t>Allmännings- och besparingsskogar</t>
        </is>
      </c>
      <c r="G2594" t="n">
        <v>4.7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s="2" t="inlineStr"/>
    </row>
    <row r="2595" ht="15" customHeight="1">
      <c r="A2595" t="inlineStr">
        <is>
          <t>A 48669-2020</t>
        </is>
      </c>
      <c r="B2595" s="1" t="n">
        <v>44103</v>
      </c>
      <c r="C2595" s="1" t="n">
        <v>45211</v>
      </c>
      <c r="D2595" t="inlineStr">
        <is>
          <t>ÖSTERGÖTLANDS LÄN</t>
        </is>
      </c>
      <c r="E2595" t="inlineStr">
        <is>
          <t>FINSPÅNG</t>
        </is>
      </c>
      <c r="G2595" t="n">
        <v>3.4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s="2" t="inlineStr"/>
    </row>
    <row r="2596" ht="15" customHeight="1">
      <c r="A2596" t="inlineStr">
        <is>
          <t>A 48756-2020</t>
        </is>
      </c>
      <c r="B2596" s="1" t="n">
        <v>44103</v>
      </c>
      <c r="C2596" s="1" t="n">
        <v>45211</v>
      </c>
      <c r="D2596" t="inlineStr">
        <is>
          <t>ÖSTERGÖTLANDS LÄN</t>
        </is>
      </c>
      <c r="E2596" t="inlineStr">
        <is>
          <t>ÅTVIDABERG</t>
        </is>
      </c>
      <c r="G2596" t="n">
        <v>3.9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s="2" t="inlineStr"/>
    </row>
    <row r="2597" ht="15" customHeight="1">
      <c r="A2597" t="inlineStr">
        <is>
          <t>A 49676-2020</t>
        </is>
      </c>
      <c r="B2597" s="1" t="n">
        <v>44103</v>
      </c>
      <c r="C2597" s="1" t="n">
        <v>45211</v>
      </c>
      <c r="D2597" t="inlineStr">
        <is>
          <t>ÖSTERGÖTLANDS LÄN</t>
        </is>
      </c>
      <c r="E2597" t="inlineStr">
        <is>
          <t>LINKÖPING</t>
        </is>
      </c>
      <c r="G2597" t="n">
        <v>4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s="2" t="inlineStr"/>
    </row>
    <row r="2598" ht="15" customHeight="1">
      <c r="A2598" t="inlineStr">
        <is>
          <t>A 48978-2020</t>
        </is>
      </c>
      <c r="B2598" s="1" t="n">
        <v>44104</v>
      </c>
      <c r="C2598" s="1" t="n">
        <v>45211</v>
      </c>
      <c r="D2598" t="inlineStr">
        <is>
          <t>ÖSTERGÖTLANDS LÄN</t>
        </is>
      </c>
      <c r="E2598" t="inlineStr">
        <is>
          <t>ÅTVIDABERG</t>
        </is>
      </c>
      <c r="G2598" t="n">
        <v>1.8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s="2" t="inlineStr"/>
    </row>
    <row r="2599" ht="15" customHeight="1">
      <c r="A2599" t="inlineStr">
        <is>
          <t>A 49039-2020</t>
        </is>
      </c>
      <c r="B2599" s="1" t="n">
        <v>44104</v>
      </c>
      <c r="C2599" s="1" t="n">
        <v>45211</v>
      </c>
      <c r="D2599" t="inlineStr">
        <is>
          <t>ÖSTERGÖTLANDS LÄN</t>
        </is>
      </c>
      <c r="E2599" t="inlineStr">
        <is>
          <t>MJÖLBY</t>
        </is>
      </c>
      <c r="G2599" t="n">
        <v>0.8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s="2" t="inlineStr"/>
    </row>
    <row r="2600" ht="15" customHeight="1">
      <c r="A2600" t="inlineStr">
        <is>
          <t>A 49055-2020</t>
        </is>
      </c>
      <c r="B2600" s="1" t="n">
        <v>44104</v>
      </c>
      <c r="C2600" s="1" t="n">
        <v>45211</v>
      </c>
      <c r="D2600" t="inlineStr">
        <is>
          <t>ÖSTERGÖTLANDS LÄN</t>
        </is>
      </c>
      <c r="E2600" t="inlineStr">
        <is>
          <t>YDRE</t>
        </is>
      </c>
      <c r="G2600" t="n">
        <v>2.1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s="2" t="inlineStr"/>
    </row>
    <row r="2601" ht="15" customHeight="1">
      <c r="A2601" t="inlineStr">
        <is>
          <t>A 49006-2020</t>
        </is>
      </c>
      <c r="B2601" s="1" t="n">
        <v>44104</v>
      </c>
      <c r="C2601" s="1" t="n">
        <v>45211</v>
      </c>
      <c r="D2601" t="inlineStr">
        <is>
          <t>ÖSTERGÖTLANDS LÄN</t>
        </is>
      </c>
      <c r="E2601" t="inlineStr">
        <is>
          <t>KINDA</t>
        </is>
      </c>
      <c r="G2601" t="n">
        <v>1.1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s="2" t="inlineStr"/>
    </row>
    <row r="2602" ht="15" customHeight="1">
      <c r="A2602" t="inlineStr">
        <is>
          <t>A 49053-2020</t>
        </is>
      </c>
      <c r="B2602" s="1" t="n">
        <v>44104</v>
      </c>
      <c r="C2602" s="1" t="n">
        <v>45211</v>
      </c>
      <c r="D2602" t="inlineStr">
        <is>
          <t>ÖSTERGÖTLANDS LÄN</t>
        </is>
      </c>
      <c r="E2602" t="inlineStr">
        <is>
          <t>YDRE</t>
        </is>
      </c>
      <c r="G2602" t="n">
        <v>0.8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s="2" t="inlineStr"/>
    </row>
    <row r="2603" ht="15" customHeight="1">
      <c r="A2603" t="inlineStr">
        <is>
          <t>A 49088-2020</t>
        </is>
      </c>
      <c r="B2603" s="1" t="n">
        <v>44104</v>
      </c>
      <c r="C2603" s="1" t="n">
        <v>45211</v>
      </c>
      <c r="D2603" t="inlineStr">
        <is>
          <t>ÖSTERGÖTLANDS LÄN</t>
        </is>
      </c>
      <c r="E2603" t="inlineStr">
        <is>
          <t>LINKÖPING</t>
        </is>
      </c>
      <c r="G2603" t="n">
        <v>1.2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s="2" t="inlineStr"/>
    </row>
    <row r="2604" ht="15" customHeight="1">
      <c r="A2604" t="inlineStr">
        <is>
          <t>A 49060-2020</t>
        </is>
      </c>
      <c r="B2604" s="1" t="n">
        <v>44104</v>
      </c>
      <c r="C2604" s="1" t="n">
        <v>45211</v>
      </c>
      <c r="D2604" t="inlineStr">
        <is>
          <t>ÖSTERGÖTLANDS LÄN</t>
        </is>
      </c>
      <c r="E2604" t="inlineStr">
        <is>
          <t>YDRE</t>
        </is>
      </c>
      <c r="G2604" t="n">
        <v>1.5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s="2" t="inlineStr"/>
    </row>
    <row r="2605" ht="15" customHeight="1">
      <c r="A2605" t="inlineStr">
        <is>
          <t>A 49048-2020</t>
        </is>
      </c>
      <c r="B2605" s="1" t="n">
        <v>44104</v>
      </c>
      <c r="C2605" s="1" t="n">
        <v>45211</v>
      </c>
      <c r="D2605" t="inlineStr">
        <is>
          <t>ÖSTERGÖTLANDS LÄN</t>
        </is>
      </c>
      <c r="E2605" t="inlineStr">
        <is>
          <t>YDRE</t>
        </is>
      </c>
      <c r="G2605" t="n">
        <v>9.699999999999999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s="2" t="inlineStr"/>
    </row>
    <row r="2606" ht="15" customHeight="1">
      <c r="A2606" t="inlineStr">
        <is>
          <t>A 49057-2020</t>
        </is>
      </c>
      <c r="B2606" s="1" t="n">
        <v>44104</v>
      </c>
      <c r="C2606" s="1" t="n">
        <v>45211</v>
      </c>
      <c r="D2606" t="inlineStr">
        <is>
          <t>ÖSTERGÖTLANDS LÄN</t>
        </is>
      </c>
      <c r="E2606" t="inlineStr">
        <is>
          <t>YDRE</t>
        </is>
      </c>
      <c r="G2606" t="n">
        <v>1.9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s="2" t="inlineStr"/>
    </row>
    <row r="2607" ht="15" customHeight="1">
      <c r="A2607" t="inlineStr">
        <is>
          <t>A 49451-2020</t>
        </is>
      </c>
      <c r="B2607" s="1" t="n">
        <v>44105</v>
      </c>
      <c r="C2607" s="1" t="n">
        <v>45211</v>
      </c>
      <c r="D2607" t="inlineStr">
        <is>
          <t>ÖSTERGÖTLANDS LÄN</t>
        </is>
      </c>
      <c r="E2607" t="inlineStr">
        <is>
          <t>SÖDERKÖPING</t>
        </is>
      </c>
      <c r="G2607" t="n">
        <v>3.3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s="2" t="inlineStr"/>
    </row>
    <row r="2608" ht="15" customHeight="1">
      <c r="A2608" t="inlineStr">
        <is>
          <t>A 49524-2020</t>
        </is>
      </c>
      <c r="B2608" s="1" t="n">
        <v>44105</v>
      </c>
      <c r="C2608" s="1" t="n">
        <v>45211</v>
      </c>
      <c r="D2608" t="inlineStr">
        <is>
          <t>ÖSTERGÖTLANDS LÄN</t>
        </is>
      </c>
      <c r="E2608" t="inlineStr">
        <is>
          <t>KINDA</t>
        </is>
      </c>
      <c r="G2608" t="n">
        <v>0.7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s="2" t="inlineStr"/>
    </row>
    <row r="2609" ht="15" customHeight="1">
      <c r="A2609" t="inlineStr">
        <is>
          <t>A 49238-2020</t>
        </is>
      </c>
      <c r="B2609" s="1" t="n">
        <v>44105</v>
      </c>
      <c r="C2609" s="1" t="n">
        <v>45211</v>
      </c>
      <c r="D2609" t="inlineStr">
        <is>
          <t>ÖSTERGÖTLANDS LÄN</t>
        </is>
      </c>
      <c r="E2609" t="inlineStr">
        <is>
          <t>NORRKÖPING</t>
        </is>
      </c>
      <c r="F2609" t="inlineStr">
        <is>
          <t>Holmen skog AB</t>
        </is>
      </c>
      <c r="G2609" t="n">
        <v>1.3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s="2" t="inlineStr"/>
    </row>
    <row r="2610" ht="15" customHeight="1">
      <c r="A2610" t="inlineStr">
        <is>
          <t>A 49752-2020</t>
        </is>
      </c>
      <c r="B2610" s="1" t="n">
        <v>44106</v>
      </c>
      <c r="C2610" s="1" t="n">
        <v>45211</v>
      </c>
      <c r="D2610" t="inlineStr">
        <is>
          <t>ÖSTERGÖTLANDS LÄN</t>
        </is>
      </c>
      <c r="E2610" t="inlineStr">
        <is>
          <t>ÖDESHÖG</t>
        </is>
      </c>
      <c r="G2610" t="n">
        <v>1.5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s="2" t="inlineStr"/>
    </row>
    <row r="2611" ht="15" customHeight="1">
      <c r="A2611" t="inlineStr">
        <is>
          <t>A 49749-2020</t>
        </is>
      </c>
      <c r="B2611" s="1" t="n">
        <v>44106</v>
      </c>
      <c r="C2611" s="1" t="n">
        <v>45211</v>
      </c>
      <c r="D2611" t="inlineStr">
        <is>
          <t>ÖSTERGÖTLANDS LÄN</t>
        </is>
      </c>
      <c r="E2611" t="inlineStr">
        <is>
          <t>ÖDESHÖG</t>
        </is>
      </c>
      <c r="G2611" t="n">
        <v>2.7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s="2" t="inlineStr"/>
    </row>
    <row r="2612" ht="15" customHeight="1">
      <c r="A2612" t="inlineStr">
        <is>
          <t>A 49549-2020</t>
        </is>
      </c>
      <c r="B2612" s="1" t="n">
        <v>44106</v>
      </c>
      <c r="C2612" s="1" t="n">
        <v>45211</v>
      </c>
      <c r="D2612" t="inlineStr">
        <is>
          <t>ÖSTERGÖTLANDS LÄN</t>
        </is>
      </c>
      <c r="E2612" t="inlineStr">
        <is>
          <t>VALDEMARSVIK</t>
        </is>
      </c>
      <c r="G2612" t="n">
        <v>1.2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s="2" t="inlineStr"/>
    </row>
    <row r="2613" ht="15" customHeight="1">
      <c r="A2613" t="inlineStr">
        <is>
          <t>A 49820-2020</t>
        </is>
      </c>
      <c r="B2613" s="1" t="n">
        <v>44106</v>
      </c>
      <c r="C2613" s="1" t="n">
        <v>45211</v>
      </c>
      <c r="D2613" t="inlineStr">
        <is>
          <t>ÖSTERGÖTLANDS LÄN</t>
        </is>
      </c>
      <c r="E2613" t="inlineStr">
        <is>
          <t>MOTALA</t>
        </is>
      </c>
      <c r="G2613" t="n">
        <v>2.1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s="2" t="inlineStr"/>
    </row>
    <row r="2614" ht="15" customHeight="1">
      <c r="A2614" t="inlineStr">
        <is>
          <t>A 49861-2020</t>
        </is>
      </c>
      <c r="B2614" s="1" t="n">
        <v>44107</v>
      </c>
      <c r="C2614" s="1" t="n">
        <v>45211</v>
      </c>
      <c r="D2614" t="inlineStr">
        <is>
          <t>ÖSTERGÖTLANDS LÄN</t>
        </is>
      </c>
      <c r="E2614" t="inlineStr">
        <is>
          <t>FINSPÅNG</t>
        </is>
      </c>
      <c r="G2614" t="n">
        <v>3.9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s="2" t="inlineStr"/>
    </row>
    <row r="2615" ht="15" customHeight="1">
      <c r="A2615" t="inlineStr">
        <is>
          <t>A 49867-2020</t>
        </is>
      </c>
      <c r="B2615" s="1" t="n">
        <v>44107</v>
      </c>
      <c r="C2615" s="1" t="n">
        <v>45211</v>
      </c>
      <c r="D2615" t="inlineStr">
        <is>
          <t>ÖSTERGÖTLANDS LÄN</t>
        </is>
      </c>
      <c r="E2615" t="inlineStr">
        <is>
          <t>NORRKÖPING</t>
        </is>
      </c>
      <c r="G2615" t="n">
        <v>1.6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s="2" t="inlineStr"/>
    </row>
    <row r="2616" ht="15" customHeight="1">
      <c r="A2616" t="inlineStr">
        <is>
          <t>A 49862-2020</t>
        </is>
      </c>
      <c r="B2616" s="1" t="n">
        <v>44107</v>
      </c>
      <c r="C2616" s="1" t="n">
        <v>45211</v>
      </c>
      <c r="D2616" t="inlineStr">
        <is>
          <t>ÖSTERGÖTLANDS LÄN</t>
        </is>
      </c>
      <c r="E2616" t="inlineStr">
        <is>
          <t>FINSPÅNG</t>
        </is>
      </c>
      <c r="G2616" t="n">
        <v>0.5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s="2" t="inlineStr"/>
    </row>
    <row r="2617" ht="15" customHeight="1">
      <c r="A2617" t="inlineStr">
        <is>
          <t>A 50207-2020</t>
        </is>
      </c>
      <c r="B2617" s="1" t="n">
        <v>44109</v>
      </c>
      <c r="C2617" s="1" t="n">
        <v>45211</v>
      </c>
      <c r="D2617" t="inlineStr">
        <is>
          <t>ÖSTERGÖTLANDS LÄN</t>
        </is>
      </c>
      <c r="E2617" t="inlineStr">
        <is>
          <t>FINSPÅNG</t>
        </is>
      </c>
      <c r="F2617" t="inlineStr">
        <is>
          <t>Övriga Aktiebolag</t>
        </is>
      </c>
      <c r="G2617" t="n">
        <v>1.3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s="2" t="inlineStr"/>
    </row>
    <row r="2618" ht="15" customHeight="1">
      <c r="A2618" t="inlineStr">
        <is>
          <t>A 49961-2020</t>
        </is>
      </c>
      <c r="B2618" s="1" t="n">
        <v>44109</v>
      </c>
      <c r="C2618" s="1" t="n">
        <v>45211</v>
      </c>
      <c r="D2618" t="inlineStr">
        <is>
          <t>ÖSTERGÖTLANDS LÄN</t>
        </is>
      </c>
      <c r="E2618" t="inlineStr">
        <is>
          <t>MOTALA</t>
        </is>
      </c>
      <c r="F2618" t="inlineStr">
        <is>
          <t>Kommuner</t>
        </is>
      </c>
      <c r="G2618" t="n">
        <v>2.1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s="2" t="inlineStr"/>
    </row>
    <row r="2619" ht="15" customHeight="1">
      <c r="A2619" t="inlineStr">
        <is>
          <t>A 50035-2020</t>
        </is>
      </c>
      <c r="B2619" s="1" t="n">
        <v>44109</v>
      </c>
      <c r="C2619" s="1" t="n">
        <v>45211</v>
      </c>
      <c r="D2619" t="inlineStr">
        <is>
          <t>ÖSTERGÖTLANDS LÄN</t>
        </is>
      </c>
      <c r="E2619" t="inlineStr">
        <is>
          <t>LINKÖPING</t>
        </is>
      </c>
      <c r="G2619" t="n">
        <v>0.6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s="2" t="inlineStr"/>
    </row>
    <row r="2620" ht="15" customHeight="1">
      <c r="A2620" t="inlineStr">
        <is>
          <t>A 50161-2020</t>
        </is>
      </c>
      <c r="B2620" s="1" t="n">
        <v>44109</v>
      </c>
      <c r="C2620" s="1" t="n">
        <v>45211</v>
      </c>
      <c r="D2620" t="inlineStr">
        <is>
          <t>ÖSTERGÖTLANDS LÄN</t>
        </is>
      </c>
      <c r="E2620" t="inlineStr">
        <is>
          <t>ÅTVIDABERG</t>
        </is>
      </c>
      <c r="G2620" t="n">
        <v>1.5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s="2" t="inlineStr"/>
    </row>
    <row r="2621" ht="15" customHeight="1">
      <c r="A2621" t="inlineStr">
        <is>
          <t>A 50284-2020</t>
        </is>
      </c>
      <c r="B2621" s="1" t="n">
        <v>44109</v>
      </c>
      <c r="C2621" s="1" t="n">
        <v>45211</v>
      </c>
      <c r="D2621" t="inlineStr">
        <is>
          <t>ÖSTERGÖTLANDS LÄN</t>
        </is>
      </c>
      <c r="E2621" t="inlineStr">
        <is>
          <t>FINSPÅNG</t>
        </is>
      </c>
      <c r="G2621" t="n">
        <v>0.6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s="2" t="inlineStr"/>
    </row>
    <row r="2622" ht="15" customHeight="1">
      <c r="A2622" t="inlineStr">
        <is>
          <t>A 51887-2020</t>
        </is>
      </c>
      <c r="B2622" s="1" t="n">
        <v>44109</v>
      </c>
      <c r="C2622" s="1" t="n">
        <v>45211</v>
      </c>
      <c r="D2622" t="inlineStr">
        <is>
          <t>ÖSTERGÖTLANDS LÄN</t>
        </is>
      </c>
      <c r="E2622" t="inlineStr">
        <is>
          <t>YDRE</t>
        </is>
      </c>
      <c r="G2622" t="n">
        <v>1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s="2" t="inlineStr"/>
    </row>
    <row r="2623" ht="15" customHeight="1">
      <c r="A2623" t="inlineStr">
        <is>
          <t>A 50401-2020</t>
        </is>
      </c>
      <c r="B2623" s="1" t="n">
        <v>44110</v>
      </c>
      <c r="C2623" s="1" t="n">
        <v>45211</v>
      </c>
      <c r="D2623" t="inlineStr">
        <is>
          <t>ÖSTERGÖTLANDS LÄN</t>
        </is>
      </c>
      <c r="E2623" t="inlineStr">
        <is>
          <t>LINKÖPING</t>
        </is>
      </c>
      <c r="G2623" t="n">
        <v>0.7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s="2" t="inlineStr"/>
    </row>
    <row r="2624" ht="15" customHeight="1">
      <c r="A2624" t="inlineStr">
        <is>
          <t>A 50454-2020</t>
        </is>
      </c>
      <c r="B2624" s="1" t="n">
        <v>44110</v>
      </c>
      <c r="C2624" s="1" t="n">
        <v>45211</v>
      </c>
      <c r="D2624" t="inlineStr">
        <is>
          <t>ÖSTERGÖTLANDS LÄN</t>
        </is>
      </c>
      <c r="E2624" t="inlineStr">
        <is>
          <t>BOXHOLM</t>
        </is>
      </c>
      <c r="G2624" t="n">
        <v>3.6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s="2" t="inlineStr"/>
    </row>
    <row r="2625" ht="15" customHeight="1">
      <c r="A2625" t="inlineStr">
        <is>
          <t>A 50288-2020</t>
        </is>
      </c>
      <c r="B2625" s="1" t="n">
        <v>44110</v>
      </c>
      <c r="C2625" s="1" t="n">
        <v>45211</v>
      </c>
      <c r="D2625" t="inlineStr">
        <is>
          <t>ÖSTERGÖTLANDS LÄN</t>
        </is>
      </c>
      <c r="E2625" t="inlineStr">
        <is>
          <t>FINSPÅNG</t>
        </is>
      </c>
      <c r="G2625" t="n">
        <v>0.5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s="2" t="inlineStr"/>
    </row>
    <row r="2626" ht="15" customHeight="1">
      <c r="A2626" t="inlineStr">
        <is>
          <t>A 50595-2020</t>
        </is>
      </c>
      <c r="B2626" s="1" t="n">
        <v>44110</v>
      </c>
      <c r="C2626" s="1" t="n">
        <v>45211</v>
      </c>
      <c r="D2626" t="inlineStr">
        <is>
          <t>ÖSTERGÖTLANDS LÄN</t>
        </is>
      </c>
      <c r="E2626" t="inlineStr">
        <is>
          <t>ÖDESHÖG</t>
        </is>
      </c>
      <c r="G2626" t="n">
        <v>0.9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s="2" t="inlineStr"/>
    </row>
    <row r="2627" ht="15" customHeight="1">
      <c r="A2627" t="inlineStr">
        <is>
          <t>A 50853-2020</t>
        </is>
      </c>
      <c r="B2627" s="1" t="n">
        <v>44111</v>
      </c>
      <c r="C2627" s="1" t="n">
        <v>45211</v>
      </c>
      <c r="D2627" t="inlineStr">
        <is>
          <t>ÖSTERGÖTLANDS LÄN</t>
        </is>
      </c>
      <c r="E2627" t="inlineStr">
        <is>
          <t>VALDEMARSVIK</t>
        </is>
      </c>
      <c r="G2627" t="n">
        <v>1.3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s="2" t="inlineStr"/>
    </row>
    <row r="2628" ht="15" customHeight="1">
      <c r="A2628" t="inlineStr">
        <is>
          <t>A 50971-2020</t>
        </is>
      </c>
      <c r="B2628" s="1" t="n">
        <v>44111</v>
      </c>
      <c r="C2628" s="1" t="n">
        <v>45211</v>
      </c>
      <c r="D2628" t="inlineStr">
        <is>
          <t>ÖSTERGÖTLANDS LÄN</t>
        </is>
      </c>
      <c r="E2628" t="inlineStr">
        <is>
          <t>LINKÖPING</t>
        </is>
      </c>
      <c r="G2628" t="n">
        <v>0.2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s="2" t="inlineStr"/>
    </row>
    <row r="2629" ht="15" customHeight="1">
      <c r="A2629" t="inlineStr">
        <is>
          <t>A 51048-2020</t>
        </is>
      </c>
      <c r="B2629" s="1" t="n">
        <v>44112</v>
      </c>
      <c r="C2629" s="1" t="n">
        <v>45211</v>
      </c>
      <c r="D2629" t="inlineStr">
        <is>
          <t>ÖSTERGÖTLANDS LÄN</t>
        </is>
      </c>
      <c r="E2629" t="inlineStr">
        <is>
          <t>ÅTVIDABERG</t>
        </is>
      </c>
      <c r="G2629" t="n">
        <v>0.7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s="2" t="inlineStr"/>
    </row>
    <row r="2630" ht="15" customHeight="1">
      <c r="A2630" t="inlineStr">
        <is>
          <t>A 52249-2020</t>
        </is>
      </c>
      <c r="B2630" s="1" t="n">
        <v>44112</v>
      </c>
      <c r="C2630" s="1" t="n">
        <v>45211</v>
      </c>
      <c r="D2630" t="inlineStr">
        <is>
          <t>ÖSTERGÖTLANDS LÄN</t>
        </is>
      </c>
      <c r="E2630" t="inlineStr">
        <is>
          <t>KINDA</t>
        </is>
      </c>
      <c r="G2630" t="n">
        <v>1.4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s="2" t="inlineStr"/>
    </row>
    <row r="2631" ht="15" customHeight="1">
      <c r="A2631" t="inlineStr">
        <is>
          <t>A 51200-2020</t>
        </is>
      </c>
      <c r="B2631" s="1" t="n">
        <v>44112</v>
      </c>
      <c r="C2631" s="1" t="n">
        <v>45211</v>
      </c>
      <c r="D2631" t="inlineStr">
        <is>
          <t>ÖSTERGÖTLANDS LÄN</t>
        </is>
      </c>
      <c r="E2631" t="inlineStr">
        <is>
          <t>ÖDESHÖG</t>
        </is>
      </c>
      <c r="G2631" t="n">
        <v>0.5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s="2" t="inlineStr"/>
    </row>
    <row r="2632" ht="15" customHeight="1">
      <c r="A2632" t="inlineStr">
        <is>
          <t>A 52210-2020</t>
        </is>
      </c>
      <c r="B2632" s="1" t="n">
        <v>44112</v>
      </c>
      <c r="C2632" s="1" t="n">
        <v>45211</v>
      </c>
      <c r="D2632" t="inlineStr">
        <is>
          <t>ÖSTERGÖTLANDS LÄN</t>
        </is>
      </c>
      <c r="E2632" t="inlineStr">
        <is>
          <t>KINDA</t>
        </is>
      </c>
      <c r="G2632" t="n">
        <v>0.6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s="2" t="inlineStr"/>
    </row>
    <row r="2633" ht="15" customHeight="1">
      <c r="A2633" t="inlineStr">
        <is>
          <t>A 52255-2020</t>
        </is>
      </c>
      <c r="B2633" s="1" t="n">
        <v>44112</v>
      </c>
      <c r="C2633" s="1" t="n">
        <v>45211</v>
      </c>
      <c r="D2633" t="inlineStr">
        <is>
          <t>ÖSTERGÖTLANDS LÄN</t>
        </is>
      </c>
      <c r="E2633" t="inlineStr">
        <is>
          <t>KINDA</t>
        </is>
      </c>
      <c r="G2633" t="n">
        <v>2.3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s="2" t="inlineStr"/>
    </row>
    <row r="2634" ht="15" customHeight="1">
      <c r="A2634" t="inlineStr">
        <is>
          <t>A 51047-2020</t>
        </is>
      </c>
      <c r="B2634" s="1" t="n">
        <v>44112</v>
      </c>
      <c r="C2634" s="1" t="n">
        <v>45211</v>
      </c>
      <c r="D2634" t="inlineStr">
        <is>
          <t>ÖSTERGÖTLANDS LÄN</t>
        </is>
      </c>
      <c r="E2634" t="inlineStr">
        <is>
          <t>ÅTVIDABERG</t>
        </is>
      </c>
      <c r="G2634" t="n">
        <v>0.5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s="2" t="inlineStr"/>
    </row>
    <row r="2635" ht="15" customHeight="1">
      <c r="A2635" t="inlineStr">
        <is>
          <t>A 51234-2020</t>
        </is>
      </c>
      <c r="B2635" s="1" t="n">
        <v>44112</v>
      </c>
      <c r="C2635" s="1" t="n">
        <v>45211</v>
      </c>
      <c r="D2635" t="inlineStr">
        <is>
          <t>ÖSTERGÖTLANDS LÄN</t>
        </is>
      </c>
      <c r="E2635" t="inlineStr">
        <is>
          <t>FINSPÅNG</t>
        </is>
      </c>
      <c r="G2635" t="n">
        <v>1.6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s="2" t="inlineStr"/>
    </row>
    <row r="2636" ht="15" customHeight="1">
      <c r="A2636" t="inlineStr">
        <is>
          <t>A 52245-2020</t>
        </is>
      </c>
      <c r="B2636" s="1" t="n">
        <v>44112</v>
      </c>
      <c r="C2636" s="1" t="n">
        <v>45211</v>
      </c>
      <c r="D2636" t="inlineStr">
        <is>
          <t>ÖSTERGÖTLANDS LÄN</t>
        </is>
      </c>
      <c r="E2636" t="inlineStr">
        <is>
          <t>KINDA</t>
        </is>
      </c>
      <c r="G2636" t="n">
        <v>1.1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s="2" t="inlineStr"/>
    </row>
    <row r="2637" ht="15" customHeight="1">
      <c r="A2637" t="inlineStr">
        <is>
          <t>A 52363-2020</t>
        </is>
      </c>
      <c r="B2637" s="1" t="n">
        <v>44112</v>
      </c>
      <c r="C2637" s="1" t="n">
        <v>45211</v>
      </c>
      <c r="D2637" t="inlineStr">
        <is>
          <t>ÖSTERGÖTLANDS LÄN</t>
        </is>
      </c>
      <c r="E2637" t="inlineStr">
        <is>
          <t>ÅTVIDABERG</t>
        </is>
      </c>
      <c r="G2637" t="n">
        <v>0.6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s="2" t="inlineStr"/>
    </row>
    <row r="2638" ht="15" customHeight="1">
      <c r="A2638" t="inlineStr">
        <is>
          <t>A 51055-2020</t>
        </is>
      </c>
      <c r="B2638" s="1" t="n">
        <v>44112</v>
      </c>
      <c r="C2638" s="1" t="n">
        <v>45211</v>
      </c>
      <c r="D2638" t="inlineStr">
        <is>
          <t>ÖSTERGÖTLANDS LÄN</t>
        </is>
      </c>
      <c r="E2638" t="inlineStr">
        <is>
          <t>MOTALA</t>
        </is>
      </c>
      <c r="F2638" t="inlineStr">
        <is>
          <t>Övriga statliga verk och myndigheter</t>
        </is>
      </c>
      <c r="G2638" t="n">
        <v>2.2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s="2" t="inlineStr"/>
    </row>
    <row r="2639" ht="15" customHeight="1">
      <c r="A2639" t="inlineStr">
        <is>
          <t>A 51193-2020</t>
        </is>
      </c>
      <c r="B2639" s="1" t="n">
        <v>44112</v>
      </c>
      <c r="C2639" s="1" t="n">
        <v>45211</v>
      </c>
      <c r="D2639" t="inlineStr">
        <is>
          <t>ÖSTERGÖTLANDS LÄN</t>
        </is>
      </c>
      <c r="E2639" t="inlineStr">
        <is>
          <t>ÖDESHÖG</t>
        </is>
      </c>
      <c r="G2639" t="n">
        <v>0.7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s="2" t="inlineStr"/>
    </row>
    <row r="2640" ht="15" customHeight="1">
      <c r="A2640" t="inlineStr">
        <is>
          <t>A 51202-2020</t>
        </is>
      </c>
      <c r="B2640" s="1" t="n">
        <v>44112</v>
      </c>
      <c r="C2640" s="1" t="n">
        <v>45211</v>
      </c>
      <c r="D2640" t="inlineStr">
        <is>
          <t>ÖSTERGÖTLANDS LÄN</t>
        </is>
      </c>
      <c r="E2640" t="inlineStr">
        <is>
          <t>MOTALA</t>
        </is>
      </c>
      <c r="F2640" t="inlineStr">
        <is>
          <t>Allmännings- och besparingsskogar</t>
        </is>
      </c>
      <c r="G2640" t="n">
        <v>2.4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s="2" t="inlineStr"/>
    </row>
    <row r="2641" ht="15" customHeight="1">
      <c r="A2641" t="inlineStr">
        <is>
          <t>A 52230-2020</t>
        </is>
      </c>
      <c r="B2641" s="1" t="n">
        <v>44112</v>
      </c>
      <c r="C2641" s="1" t="n">
        <v>45211</v>
      </c>
      <c r="D2641" t="inlineStr">
        <is>
          <t>ÖSTERGÖTLANDS LÄN</t>
        </is>
      </c>
      <c r="E2641" t="inlineStr">
        <is>
          <t>KINDA</t>
        </is>
      </c>
      <c r="G2641" t="n">
        <v>2.1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s="2" t="inlineStr"/>
    </row>
    <row r="2642" ht="15" customHeight="1">
      <c r="A2642" t="inlineStr">
        <is>
          <t>A 51575-2020</t>
        </is>
      </c>
      <c r="B2642" s="1" t="n">
        <v>44113</v>
      </c>
      <c r="C2642" s="1" t="n">
        <v>45211</v>
      </c>
      <c r="D2642" t="inlineStr">
        <is>
          <t>ÖSTERGÖTLANDS LÄN</t>
        </is>
      </c>
      <c r="E2642" t="inlineStr">
        <is>
          <t>KINDA</t>
        </is>
      </c>
      <c r="G2642" t="n">
        <v>1.1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s="2" t="inlineStr"/>
    </row>
    <row r="2643" ht="15" customHeight="1">
      <c r="A2643" t="inlineStr">
        <is>
          <t>A 51517-2020</t>
        </is>
      </c>
      <c r="B2643" s="1" t="n">
        <v>44113</v>
      </c>
      <c r="C2643" s="1" t="n">
        <v>45211</v>
      </c>
      <c r="D2643" t="inlineStr">
        <is>
          <t>ÖSTERGÖTLANDS LÄN</t>
        </is>
      </c>
      <c r="E2643" t="inlineStr">
        <is>
          <t>ÅTVIDABERG</t>
        </is>
      </c>
      <c r="G2643" t="n">
        <v>2.4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s="2" t="inlineStr"/>
    </row>
    <row r="2644" ht="15" customHeight="1">
      <c r="A2644" t="inlineStr">
        <is>
          <t>A 51796-2020</t>
        </is>
      </c>
      <c r="B2644" s="1" t="n">
        <v>44115</v>
      </c>
      <c r="C2644" s="1" t="n">
        <v>45211</v>
      </c>
      <c r="D2644" t="inlineStr">
        <is>
          <t>ÖSTERGÖTLANDS LÄN</t>
        </is>
      </c>
      <c r="E2644" t="inlineStr">
        <is>
          <t>ÅTVIDABERG</t>
        </is>
      </c>
      <c r="G2644" t="n">
        <v>0.8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s="2" t="inlineStr"/>
    </row>
    <row r="2645" ht="15" customHeight="1">
      <c r="A2645" t="inlineStr">
        <is>
          <t>A 52021-2020</t>
        </is>
      </c>
      <c r="B2645" s="1" t="n">
        <v>44116</v>
      </c>
      <c r="C2645" s="1" t="n">
        <v>45211</v>
      </c>
      <c r="D2645" t="inlineStr">
        <is>
          <t>ÖSTERGÖTLANDS LÄN</t>
        </is>
      </c>
      <c r="E2645" t="inlineStr">
        <is>
          <t>YDRE</t>
        </is>
      </c>
      <c r="G2645" t="n">
        <v>2.1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s="2" t="inlineStr"/>
    </row>
    <row r="2646" ht="15" customHeight="1">
      <c r="A2646" t="inlineStr">
        <is>
          <t>A 51912-2020</t>
        </is>
      </c>
      <c r="B2646" s="1" t="n">
        <v>44116</v>
      </c>
      <c r="C2646" s="1" t="n">
        <v>45211</v>
      </c>
      <c r="D2646" t="inlineStr">
        <is>
          <t>ÖSTERGÖTLANDS LÄN</t>
        </is>
      </c>
      <c r="E2646" t="inlineStr">
        <is>
          <t>LINKÖPING</t>
        </is>
      </c>
      <c r="G2646" t="n">
        <v>0.6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s="2" t="inlineStr"/>
    </row>
    <row r="2647" ht="15" customHeight="1">
      <c r="A2647" t="inlineStr">
        <is>
          <t>A 52284-2020</t>
        </is>
      </c>
      <c r="B2647" s="1" t="n">
        <v>44117</v>
      </c>
      <c r="C2647" s="1" t="n">
        <v>45211</v>
      </c>
      <c r="D2647" t="inlineStr">
        <is>
          <t>ÖSTERGÖTLANDS LÄN</t>
        </is>
      </c>
      <c r="E2647" t="inlineStr">
        <is>
          <t>ÖDESHÖG</t>
        </is>
      </c>
      <c r="F2647" t="inlineStr">
        <is>
          <t>Allmännings- och besparingsskogar</t>
        </is>
      </c>
      <c r="G2647" t="n">
        <v>1.6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s="2" t="inlineStr"/>
    </row>
    <row r="2648" ht="15" customHeight="1">
      <c r="A2648" t="inlineStr">
        <is>
          <t>A 52183-2020</t>
        </is>
      </c>
      <c r="B2648" s="1" t="n">
        <v>44117</v>
      </c>
      <c r="C2648" s="1" t="n">
        <v>45211</v>
      </c>
      <c r="D2648" t="inlineStr">
        <is>
          <t>ÖSTERGÖTLANDS LÄN</t>
        </is>
      </c>
      <c r="E2648" t="inlineStr">
        <is>
          <t>FINSPÅNG</t>
        </is>
      </c>
      <c r="G2648" t="n">
        <v>0.8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s="2" t="inlineStr"/>
    </row>
    <row r="2649" ht="15" customHeight="1">
      <c r="A2649" t="inlineStr">
        <is>
          <t>A 52239-2020</t>
        </is>
      </c>
      <c r="B2649" s="1" t="n">
        <v>44117</v>
      </c>
      <c r="C2649" s="1" t="n">
        <v>45211</v>
      </c>
      <c r="D2649" t="inlineStr">
        <is>
          <t>ÖSTERGÖTLANDS LÄN</t>
        </is>
      </c>
      <c r="E2649" t="inlineStr">
        <is>
          <t>ÖDESHÖG</t>
        </is>
      </c>
      <c r="F2649" t="inlineStr">
        <is>
          <t>Allmännings- och besparingsskogar</t>
        </is>
      </c>
      <c r="G2649" t="n">
        <v>5.5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s="2" t="inlineStr"/>
    </row>
    <row r="2650" ht="15" customHeight="1">
      <c r="A2650" t="inlineStr">
        <is>
          <t>A 52315-2020</t>
        </is>
      </c>
      <c r="B2650" s="1" t="n">
        <v>44117</v>
      </c>
      <c r="C2650" s="1" t="n">
        <v>45211</v>
      </c>
      <c r="D2650" t="inlineStr">
        <is>
          <t>ÖSTERGÖTLANDS LÄN</t>
        </is>
      </c>
      <c r="E2650" t="inlineStr">
        <is>
          <t>ÅTVIDABERG</t>
        </is>
      </c>
      <c r="G2650" t="n">
        <v>1.1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s="2" t="inlineStr"/>
    </row>
    <row r="2651" ht="15" customHeight="1">
      <c r="A2651" t="inlineStr">
        <is>
          <t>A 52280-2020</t>
        </is>
      </c>
      <c r="B2651" s="1" t="n">
        <v>44117</v>
      </c>
      <c r="C2651" s="1" t="n">
        <v>45211</v>
      </c>
      <c r="D2651" t="inlineStr">
        <is>
          <t>ÖSTERGÖTLANDS LÄN</t>
        </is>
      </c>
      <c r="E2651" t="inlineStr">
        <is>
          <t>ÖDESHÖG</t>
        </is>
      </c>
      <c r="F2651" t="inlineStr">
        <is>
          <t>Allmännings- och besparingsskogar</t>
        </is>
      </c>
      <c r="G2651" t="n">
        <v>2.7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s="2" t="inlineStr"/>
    </row>
    <row r="2652" ht="15" customHeight="1">
      <c r="A2652" t="inlineStr">
        <is>
          <t>A 52691-2020</t>
        </is>
      </c>
      <c r="B2652" s="1" t="n">
        <v>44117</v>
      </c>
      <c r="C2652" s="1" t="n">
        <v>45211</v>
      </c>
      <c r="D2652" t="inlineStr">
        <is>
          <t>ÖSTERGÖTLANDS LÄN</t>
        </is>
      </c>
      <c r="E2652" t="inlineStr">
        <is>
          <t>BOXHOLM</t>
        </is>
      </c>
      <c r="G2652" t="n">
        <v>4.4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s="2" t="inlineStr"/>
    </row>
    <row r="2653" ht="15" customHeight="1">
      <c r="A2653" t="inlineStr">
        <is>
          <t>A 52604-2020</t>
        </is>
      </c>
      <c r="B2653" s="1" t="n">
        <v>44118</v>
      </c>
      <c r="C2653" s="1" t="n">
        <v>45211</v>
      </c>
      <c r="D2653" t="inlineStr">
        <is>
          <t>ÖSTERGÖTLANDS LÄN</t>
        </is>
      </c>
      <c r="E2653" t="inlineStr">
        <is>
          <t>FINSPÅNG</t>
        </is>
      </c>
      <c r="G2653" t="n">
        <v>1.1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s="2" t="inlineStr"/>
    </row>
    <row r="2654" ht="15" customHeight="1">
      <c r="A2654" t="inlineStr">
        <is>
          <t>A 52721-2020</t>
        </is>
      </c>
      <c r="B2654" s="1" t="n">
        <v>44118</v>
      </c>
      <c r="C2654" s="1" t="n">
        <v>45211</v>
      </c>
      <c r="D2654" t="inlineStr">
        <is>
          <t>ÖSTERGÖTLANDS LÄN</t>
        </is>
      </c>
      <c r="E2654" t="inlineStr">
        <is>
          <t>ÅTVIDABERG</t>
        </is>
      </c>
      <c r="G2654" t="n">
        <v>0.8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s="2" t="inlineStr"/>
    </row>
    <row r="2655" ht="15" customHeight="1">
      <c r="A2655" t="inlineStr">
        <is>
          <t>A 52724-2020</t>
        </is>
      </c>
      <c r="B2655" s="1" t="n">
        <v>44118</v>
      </c>
      <c r="C2655" s="1" t="n">
        <v>45211</v>
      </c>
      <c r="D2655" t="inlineStr">
        <is>
          <t>ÖSTERGÖTLANDS LÄN</t>
        </is>
      </c>
      <c r="E2655" t="inlineStr">
        <is>
          <t>ÅTVIDABERG</t>
        </is>
      </c>
      <c r="G2655" t="n">
        <v>0.5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s="2" t="inlineStr"/>
    </row>
    <row r="2656" ht="15" customHeight="1">
      <c r="A2656" t="inlineStr">
        <is>
          <t>A 52605-2020</t>
        </is>
      </c>
      <c r="B2656" s="1" t="n">
        <v>44118</v>
      </c>
      <c r="C2656" s="1" t="n">
        <v>45211</v>
      </c>
      <c r="D2656" t="inlineStr">
        <is>
          <t>ÖSTERGÖTLANDS LÄN</t>
        </is>
      </c>
      <c r="E2656" t="inlineStr">
        <is>
          <t>FINSPÅNG</t>
        </is>
      </c>
      <c r="G2656" t="n">
        <v>0.4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s="2" t="inlineStr"/>
    </row>
    <row r="2657" ht="15" customHeight="1">
      <c r="A2657" t="inlineStr">
        <is>
          <t>A 52723-2020</t>
        </is>
      </c>
      <c r="B2657" s="1" t="n">
        <v>44118</v>
      </c>
      <c r="C2657" s="1" t="n">
        <v>45211</v>
      </c>
      <c r="D2657" t="inlineStr">
        <is>
          <t>ÖSTERGÖTLANDS LÄN</t>
        </is>
      </c>
      <c r="E2657" t="inlineStr">
        <is>
          <t>ÅTVIDABERG</t>
        </is>
      </c>
      <c r="G2657" t="n">
        <v>0.4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s="2" t="inlineStr"/>
    </row>
    <row r="2658" ht="15" customHeight="1">
      <c r="A2658" t="inlineStr">
        <is>
          <t>A 52705-2020</t>
        </is>
      </c>
      <c r="B2658" s="1" t="n">
        <v>44119</v>
      </c>
      <c r="C2658" s="1" t="n">
        <v>45211</v>
      </c>
      <c r="D2658" t="inlineStr">
        <is>
          <t>ÖSTERGÖTLANDS LÄN</t>
        </is>
      </c>
      <c r="E2658" t="inlineStr">
        <is>
          <t>FINSPÅNG</t>
        </is>
      </c>
      <c r="F2658" t="inlineStr">
        <is>
          <t>Övriga Aktiebolag</t>
        </is>
      </c>
      <c r="G2658" t="n">
        <v>1.5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s="2" t="inlineStr"/>
    </row>
    <row r="2659" ht="15" customHeight="1">
      <c r="A2659" t="inlineStr">
        <is>
          <t>A 52755-2020</t>
        </is>
      </c>
      <c r="B2659" s="1" t="n">
        <v>44119</v>
      </c>
      <c r="C2659" s="1" t="n">
        <v>45211</v>
      </c>
      <c r="D2659" t="inlineStr">
        <is>
          <t>ÖSTERGÖTLANDS LÄN</t>
        </is>
      </c>
      <c r="E2659" t="inlineStr">
        <is>
          <t>MJÖLBY</t>
        </is>
      </c>
      <c r="G2659" t="n">
        <v>0.5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s="2" t="inlineStr"/>
    </row>
    <row r="2660" ht="15" customHeight="1">
      <c r="A2660" t="inlineStr">
        <is>
          <t>A 52845-2020</t>
        </is>
      </c>
      <c r="B2660" s="1" t="n">
        <v>44119</v>
      </c>
      <c r="C2660" s="1" t="n">
        <v>45211</v>
      </c>
      <c r="D2660" t="inlineStr">
        <is>
          <t>ÖSTERGÖTLANDS LÄN</t>
        </is>
      </c>
      <c r="E2660" t="inlineStr">
        <is>
          <t>BOXHOLM</t>
        </is>
      </c>
      <c r="F2660" t="inlineStr">
        <is>
          <t>Allmännings- och besparingsskogar</t>
        </is>
      </c>
      <c r="G2660" t="n">
        <v>10.1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s="2" t="inlineStr"/>
    </row>
    <row r="2661" ht="15" customHeight="1">
      <c r="A2661" t="inlineStr">
        <is>
          <t>A 52913-2020</t>
        </is>
      </c>
      <c r="B2661" s="1" t="n">
        <v>44120</v>
      </c>
      <c r="C2661" s="1" t="n">
        <v>45211</v>
      </c>
      <c r="D2661" t="inlineStr">
        <is>
          <t>ÖSTERGÖTLANDS LÄN</t>
        </is>
      </c>
      <c r="E2661" t="inlineStr">
        <is>
          <t>VALDEMARSVIK</t>
        </is>
      </c>
      <c r="G2661" t="n">
        <v>4.8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s="2" t="inlineStr"/>
    </row>
    <row r="2662" ht="15" customHeight="1">
      <c r="A2662" t="inlineStr">
        <is>
          <t>A 53439-2020</t>
        </is>
      </c>
      <c r="B2662" s="1" t="n">
        <v>44120</v>
      </c>
      <c r="C2662" s="1" t="n">
        <v>45211</v>
      </c>
      <c r="D2662" t="inlineStr">
        <is>
          <t>ÖSTERGÖTLANDS LÄN</t>
        </is>
      </c>
      <c r="E2662" t="inlineStr">
        <is>
          <t>KINDA</t>
        </is>
      </c>
      <c r="G2662" t="n">
        <v>1.1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s="2" t="inlineStr"/>
    </row>
    <row r="2663" ht="15" customHeight="1">
      <c r="A2663" t="inlineStr">
        <is>
          <t>A 52931-2020</t>
        </is>
      </c>
      <c r="B2663" s="1" t="n">
        <v>44120</v>
      </c>
      <c r="C2663" s="1" t="n">
        <v>45211</v>
      </c>
      <c r="D2663" t="inlineStr">
        <is>
          <t>ÖSTERGÖTLANDS LÄN</t>
        </is>
      </c>
      <c r="E2663" t="inlineStr">
        <is>
          <t>YDRE</t>
        </is>
      </c>
      <c r="G2663" t="n">
        <v>0.6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s="2" t="inlineStr"/>
    </row>
    <row r="2664" ht="15" customHeight="1">
      <c r="A2664" t="inlineStr">
        <is>
          <t>A 53423-2020</t>
        </is>
      </c>
      <c r="B2664" s="1" t="n">
        <v>44123</v>
      </c>
      <c r="C2664" s="1" t="n">
        <v>45211</v>
      </c>
      <c r="D2664" t="inlineStr">
        <is>
          <t>ÖSTERGÖTLANDS LÄN</t>
        </is>
      </c>
      <c r="E2664" t="inlineStr">
        <is>
          <t>SÖDERKÖPING</t>
        </is>
      </c>
      <c r="G2664" t="n">
        <v>7.7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s="2" t="inlineStr"/>
    </row>
    <row r="2665" ht="15" customHeight="1">
      <c r="A2665" t="inlineStr">
        <is>
          <t>A 53455-2020</t>
        </is>
      </c>
      <c r="B2665" s="1" t="n">
        <v>44123</v>
      </c>
      <c r="C2665" s="1" t="n">
        <v>45211</v>
      </c>
      <c r="D2665" t="inlineStr">
        <is>
          <t>ÖSTERGÖTLANDS LÄN</t>
        </is>
      </c>
      <c r="E2665" t="inlineStr">
        <is>
          <t>VALDEMARSVIK</t>
        </is>
      </c>
      <c r="G2665" t="n">
        <v>4.8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s="2" t="inlineStr"/>
    </row>
    <row r="2666" ht="15" customHeight="1">
      <c r="A2666" t="inlineStr">
        <is>
          <t>A 53640-2020</t>
        </is>
      </c>
      <c r="B2666" s="1" t="n">
        <v>44123</v>
      </c>
      <c r="C2666" s="1" t="n">
        <v>45211</v>
      </c>
      <c r="D2666" t="inlineStr">
        <is>
          <t>ÖSTERGÖTLANDS LÄN</t>
        </is>
      </c>
      <c r="E2666" t="inlineStr">
        <is>
          <t>KINDA</t>
        </is>
      </c>
      <c r="G2666" t="n">
        <v>0.3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s="2" t="inlineStr"/>
    </row>
    <row r="2667" ht="15" customHeight="1">
      <c r="A2667" t="inlineStr">
        <is>
          <t>A 53403-2020</t>
        </is>
      </c>
      <c r="B2667" s="1" t="n">
        <v>44123</v>
      </c>
      <c r="C2667" s="1" t="n">
        <v>45211</v>
      </c>
      <c r="D2667" t="inlineStr">
        <is>
          <t>ÖSTERGÖTLANDS LÄN</t>
        </is>
      </c>
      <c r="E2667" t="inlineStr">
        <is>
          <t>FINSPÅNG</t>
        </is>
      </c>
      <c r="F2667" t="inlineStr">
        <is>
          <t>Holmen skog AB</t>
        </is>
      </c>
      <c r="G2667" t="n">
        <v>0.3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s="2" t="inlineStr"/>
    </row>
    <row r="2668" ht="15" customHeight="1">
      <c r="A2668" t="inlineStr">
        <is>
          <t>A 53633-2020</t>
        </is>
      </c>
      <c r="B2668" s="1" t="n">
        <v>44123</v>
      </c>
      <c r="C2668" s="1" t="n">
        <v>45211</v>
      </c>
      <c r="D2668" t="inlineStr">
        <is>
          <t>ÖSTERGÖTLANDS LÄN</t>
        </is>
      </c>
      <c r="E2668" t="inlineStr">
        <is>
          <t>KINDA</t>
        </is>
      </c>
      <c r="G2668" t="n">
        <v>0.3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s="2" t="inlineStr"/>
    </row>
    <row r="2669" ht="15" customHeight="1">
      <c r="A2669" t="inlineStr">
        <is>
          <t>A 53616-2020</t>
        </is>
      </c>
      <c r="B2669" s="1" t="n">
        <v>44123</v>
      </c>
      <c r="C2669" s="1" t="n">
        <v>45211</v>
      </c>
      <c r="D2669" t="inlineStr">
        <is>
          <t>ÖSTERGÖTLANDS LÄN</t>
        </is>
      </c>
      <c r="E2669" t="inlineStr">
        <is>
          <t>LINKÖPING</t>
        </is>
      </c>
      <c r="G2669" t="n">
        <v>2.7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s="2" t="inlineStr"/>
    </row>
    <row r="2670" ht="15" customHeight="1">
      <c r="A2670" t="inlineStr">
        <is>
          <t>A 53230-2020</t>
        </is>
      </c>
      <c r="B2670" s="1" t="n">
        <v>44123</v>
      </c>
      <c r="C2670" s="1" t="n">
        <v>45211</v>
      </c>
      <c r="D2670" t="inlineStr">
        <is>
          <t>ÖSTERGÖTLANDS LÄN</t>
        </is>
      </c>
      <c r="E2670" t="inlineStr">
        <is>
          <t>ÅTVIDABERG</t>
        </is>
      </c>
      <c r="G2670" t="n">
        <v>1.6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s="2" t="inlineStr"/>
    </row>
    <row r="2671" ht="15" customHeight="1">
      <c r="A2671" t="inlineStr">
        <is>
          <t>A 53248-2020</t>
        </is>
      </c>
      <c r="B2671" s="1" t="n">
        <v>44123</v>
      </c>
      <c r="C2671" s="1" t="n">
        <v>45211</v>
      </c>
      <c r="D2671" t="inlineStr">
        <is>
          <t>ÖSTERGÖTLANDS LÄN</t>
        </is>
      </c>
      <c r="E2671" t="inlineStr">
        <is>
          <t>ÅTVIDABERG</t>
        </is>
      </c>
      <c r="G2671" t="n">
        <v>0.7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s="2" t="inlineStr"/>
    </row>
    <row r="2672" ht="15" customHeight="1">
      <c r="A2672" t="inlineStr">
        <is>
          <t>A 53743-2020</t>
        </is>
      </c>
      <c r="B2672" s="1" t="n">
        <v>44124</v>
      </c>
      <c r="C2672" s="1" t="n">
        <v>45211</v>
      </c>
      <c r="D2672" t="inlineStr">
        <is>
          <t>ÖSTERGÖTLANDS LÄN</t>
        </is>
      </c>
      <c r="E2672" t="inlineStr">
        <is>
          <t>ÖDESHÖG</t>
        </is>
      </c>
      <c r="G2672" t="n">
        <v>2.5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s="2" t="inlineStr"/>
    </row>
    <row r="2673" ht="15" customHeight="1">
      <c r="A2673" t="inlineStr">
        <is>
          <t>A 53714-2020</t>
        </is>
      </c>
      <c r="B2673" s="1" t="n">
        <v>44124</v>
      </c>
      <c r="C2673" s="1" t="n">
        <v>45211</v>
      </c>
      <c r="D2673" t="inlineStr">
        <is>
          <t>ÖSTERGÖTLANDS LÄN</t>
        </is>
      </c>
      <c r="E2673" t="inlineStr">
        <is>
          <t>YDRE</t>
        </is>
      </c>
      <c r="G2673" t="n">
        <v>6.7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s="2" t="inlineStr"/>
    </row>
    <row r="2674" ht="15" customHeight="1">
      <c r="A2674" t="inlineStr">
        <is>
          <t>A 53761-2020</t>
        </is>
      </c>
      <c r="B2674" s="1" t="n">
        <v>44124</v>
      </c>
      <c r="C2674" s="1" t="n">
        <v>45211</v>
      </c>
      <c r="D2674" t="inlineStr">
        <is>
          <t>ÖSTERGÖTLANDS LÄN</t>
        </is>
      </c>
      <c r="E2674" t="inlineStr">
        <is>
          <t>MOTALA</t>
        </is>
      </c>
      <c r="G2674" t="n">
        <v>2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s="2" t="inlineStr"/>
    </row>
    <row r="2675" ht="15" customHeight="1">
      <c r="A2675" t="inlineStr">
        <is>
          <t>A 54246-2020</t>
        </is>
      </c>
      <c r="B2675" s="1" t="n">
        <v>44124</v>
      </c>
      <c r="C2675" s="1" t="n">
        <v>45211</v>
      </c>
      <c r="D2675" t="inlineStr">
        <is>
          <t>ÖSTERGÖTLANDS LÄN</t>
        </is>
      </c>
      <c r="E2675" t="inlineStr">
        <is>
          <t>KINDA</t>
        </is>
      </c>
      <c r="G2675" t="n">
        <v>3.9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s="2" t="inlineStr"/>
    </row>
    <row r="2676" ht="15" customHeight="1">
      <c r="A2676" t="inlineStr">
        <is>
          <t>A 53673-2020</t>
        </is>
      </c>
      <c r="B2676" s="1" t="n">
        <v>44124</v>
      </c>
      <c r="C2676" s="1" t="n">
        <v>45211</v>
      </c>
      <c r="D2676" t="inlineStr">
        <is>
          <t>ÖSTERGÖTLANDS LÄN</t>
        </is>
      </c>
      <c r="E2676" t="inlineStr">
        <is>
          <t>LINKÖPING</t>
        </is>
      </c>
      <c r="F2676" t="inlineStr">
        <is>
          <t>Övriga Aktiebolag</t>
        </is>
      </c>
      <c r="G2676" t="n">
        <v>9.6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s="2" t="inlineStr"/>
    </row>
    <row r="2677" ht="15" customHeight="1">
      <c r="A2677" t="inlineStr">
        <is>
          <t>A 53712-2020</t>
        </is>
      </c>
      <c r="B2677" s="1" t="n">
        <v>44124</v>
      </c>
      <c r="C2677" s="1" t="n">
        <v>45211</v>
      </c>
      <c r="D2677" t="inlineStr">
        <is>
          <t>ÖSTERGÖTLANDS LÄN</t>
        </is>
      </c>
      <c r="E2677" t="inlineStr">
        <is>
          <t>YDRE</t>
        </is>
      </c>
      <c r="G2677" t="n">
        <v>4.2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s="2" t="inlineStr"/>
    </row>
    <row r="2678" ht="15" customHeight="1">
      <c r="A2678" t="inlineStr">
        <is>
          <t>A 53867-2020</t>
        </is>
      </c>
      <c r="B2678" s="1" t="n">
        <v>44125</v>
      </c>
      <c r="C2678" s="1" t="n">
        <v>45211</v>
      </c>
      <c r="D2678" t="inlineStr">
        <is>
          <t>ÖSTERGÖTLANDS LÄN</t>
        </is>
      </c>
      <c r="E2678" t="inlineStr">
        <is>
          <t>FINSPÅNG</t>
        </is>
      </c>
      <c r="G2678" t="n">
        <v>4.1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s="2" t="inlineStr"/>
    </row>
    <row r="2679" ht="15" customHeight="1">
      <c r="A2679" t="inlineStr">
        <is>
          <t>A 54099-2020</t>
        </is>
      </c>
      <c r="B2679" s="1" t="n">
        <v>44125</v>
      </c>
      <c r="C2679" s="1" t="n">
        <v>45211</v>
      </c>
      <c r="D2679" t="inlineStr">
        <is>
          <t>ÖSTERGÖTLANDS LÄN</t>
        </is>
      </c>
      <c r="E2679" t="inlineStr">
        <is>
          <t>ÖDESHÖG</t>
        </is>
      </c>
      <c r="G2679" t="n">
        <v>0.5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s="2" t="inlineStr"/>
    </row>
    <row r="2680" ht="15" customHeight="1">
      <c r="A2680" t="inlineStr">
        <is>
          <t>A 54131-2020</t>
        </is>
      </c>
      <c r="B2680" s="1" t="n">
        <v>44125</v>
      </c>
      <c r="C2680" s="1" t="n">
        <v>45211</v>
      </c>
      <c r="D2680" t="inlineStr">
        <is>
          <t>ÖSTERGÖTLANDS LÄN</t>
        </is>
      </c>
      <c r="E2680" t="inlineStr">
        <is>
          <t>KINDA</t>
        </is>
      </c>
      <c r="G2680" t="n">
        <v>2.6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s="2" t="inlineStr"/>
    </row>
    <row r="2681" ht="15" customHeight="1">
      <c r="A2681" t="inlineStr">
        <is>
          <t>A 54179-2020</t>
        </is>
      </c>
      <c r="B2681" s="1" t="n">
        <v>44125</v>
      </c>
      <c r="C2681" s="1" t="n">
        <v>45211</v>
      </c>
      <c r="D2681" t="inlineStr">
        <is>
          <t>ÖSTERGÖTLANDS LÄN</t>
        </is>
      </c>
      <c r="E2681" t="inlineStr">
        <is>
          <t>FINSPÅNG</t>
        </is>
      </c>
      <c r="G2681" t="n">
        <v>0.6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s="2" t="inlineStr"/>
    </row>
    <row r="2682" ht="15" customHeight="1">
      <c r="A2682" t="inlineStr">
        <is>
          <t>A 53896-2020</t>
        </is>
      </c>
      <c r="B2682" s="1" t="n">
        <v>44125</v>
      </c>
      <c r="C2682" s="1" t="n">
        <v>45211</v>
      </c>
      <c r="D2682" t="inlineStr">
        <is>
          <t>ÖSTERGÖTLANDS LÄN</t>
        </is>
      </c>
      <c r="E2682" t="inlineStr">
        <is>
          <t>FINSPÅNG</t>
        </is>
      </c>
      <c r="F2682" t="inlineStr">
        <is>
          <t>Holmen skog AB</t>
        </is>
      </c>
      <c r="G2682" t="n">
        <v>0.6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s="2" t="inlineStr"/>
    </row>
    <row r="2683" ht="15" customHeight="1">
      <c r="A2683" t="inlineStr">
        <is>
          <t>A 54466-2020</t>
        </is>
      </c>
      <c r="B2683" s="1" t="n">
        <v>44125</v>
      </c>
      <c r="C2683" s="1" t="n">
        <v>45211</v>
      </c>
      <c r="D2683" t="inlineStr">
        <is>
          <t>ÖSTERGÖTLANDS LÄN</t>
        </is>
      </c>
      <c r="E2683" t="inlineStr">
        <is>
          <t>VALDEMARSVIK</t>
        </is>
      </c>
      <c r="G2683" t="n">
        <v>3.6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s="2" t="inlineStr"/>
    </row>
    <row r="2684" ht="15" customHeight="1">
      <c r="A2684" t="inlineStr">
        <is>
          <t>A 54869-2020</t>
        </is>
      </c>
      <c r="B2684" s="1" t="n">
        <v>44126</v>
      </c>
      <c r="C2684" s="1" t="n">
        <v>45211</v>
      </c>
      <c r="D2684" t="inlineStr">
        <is>
          <t>ÖSTERGÖTLANDS LÄN</t>
        </is>
      </c>
      <c r="E2684" t="inlineStr">
        <is>
          <t>YDRE</t>
        </is>
      </c>
      <c r="G2684" t="n">
        <v>1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s="2" t="inlineStr"/>
    </row>
    <row r="2685" ht="15" customHeight="1">
      <c r="A2685" t="inlineStr">
        <is>
          <t>A 54360-2020</t>
        </is>
      </c>
      <c r="B2685" s="1" t="n">
        <v>44126</v>
      </c>
      <c r="C2685" s="1" t="n">
        <v>45211</v>
      </c>
      <c r="D2685" t="inlineStr">
        <is>
          <t>ÖSTERGÖTLANDS LÄN</t>
        </is>
      </c>
      <c r="E2685" t="inlineStr">
        <is>
          <t>VALDEMARSVIK</t>
        </is>
      </c>
      <c r="G2685" t="n">
        <v>3.4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s="2" t="inlineStr"/>
    </row>
    <row r="2686" ht="15" customHeight="1">
      <c r="A2686" t="inlineStr">
        <is>
          <t>A 54834-2020</t>
        </is>
      </c>
      <c r="B2686" s="1" t="n">
        <v>44127</v>
      </c>
      <c r="C2686" s="1" t="n">
        <v>45211</v>
      </c>
      <c r="D2686" t="inlineStr">
        <is>
          <t>ÖSTERGÖTLANDS LÄN</t>
        </is>
      </c>
      <c r="E2686" t="inlineStr">
        <is>
          <t>FINSPÅNG</t>
        </is>
      </c>
      <c r="G2686" t="n">
        <v>3.2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s="2" t="inlineStr"/>
    </row>
    <row r="2687" ht="15" customHeight="1">
      <c r="A2687" t="inlineStr">
        <is>
          <t>A 54772-2020</t>
        </is>
      </c>
      <c r="B2687" s="1" t="n">
        <v>44127</v>
      </c>
      <c r="C2687" s="1" t="n">
        <v>45211</v>
      </c>
      <c r="D2687" t="inlineStr">
        <is>
          <t>ÖSTERGÖTLANDS LÄN</t>
        </is>
      </c>
      <c r="E2687" t="inlineStr">
        <is>
          <t>ÖDESHÖG</t>
        </is>
      </c>
      <c r="G2687" t="n">
        <v>0.5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s="2" t="inlineStr"/>
    </row>
    <row r="2688" ht="15" customHeight="1">
      <c r="A2688" t="inlineStr">
        <is>
          <t>A 54855-2020</t>
        </is>
      </c>
      <c r="B2688" s="1" t="n">
        <v>44128</v>
      </c>
      <c r="C2688" s="1" t="n">
        <v>45211</v>
      </c>
      <c r="D2688" t="inlineStr">
        <is>
          <t>ÖSTERGÖTLANDS LÄN</t>
        </is>
      </c>
      <c r="E2688" t="inlineStr">
        <is>
          <t>FINSPÅNG</t>
        </is>
      </c>
      <c r="G2688" t="n">
        <v>1.3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s="2" t="inlineStr"/>
    </row>
    <row r="2689" ht="15" customHeight="1">
      <c r="A2689" t="inlineStr">
        <is>
          <t>A 54838-2020</t>
        </is>
      </c>
      <c r="B2689" s="1" t="n">
        <v>44128</v>
      </c>
      <c r="C2689" s="1" t="n">
        <v>45211</v>
      </c>
      <c r="D2689" t="inlineStr">
        <is>
          <t>ÖSTERGÖTLANDS LÄN</t>
        </is>
      </c>
      <c r="E2689" t="inlineStr">
        <is>
          <t>FINSPÅNG</t>
        </is>
      </c>
      <c r="G2689" t="n">
        <v>0.4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s="2" t="inlineStr"/>
    </row>
    <row r="2690" ht="15" customHeight="1">
      <c r="A2690" t="inlineStr">
        <is>
          <t>A 54859-2020</t>
        </is>
      </c>
      <c r="B2690" s="1" t="n">
        <v>44128</v>
      </c>
      <c r="C2690" s="1" t="n">
        <v>45211</v>
      </c>
      <c r="D2690" t="inlineStr">
        <is>
          <t>ÖSTERGÖTLANDS LÄN</t>
        </is>
      </c>
      <c r="E2690" t="inlineStr">
        <is>
          <t>FINSPÅNG</t>
        </is>
      </c>
      <c r="G2690" t="n">
        <v>0.8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s="2" t="inlineStr"/>
    </row>
    <row r="2691" ht="15" customHeight="1">
      <c r="A2691" t="inlineStr">
        <is>
          <t>A 55092-2020</t>
        </is>
      </c>
      <c r="B2691" s="1" t="n">
        <v>44130</v>
      </c>
      <c r="C2691" s="1" t="n">
        <v>45211</v>
      </c>
      <c r="D2691" t="inlineStr">
        <is>
          <t>ÖSTERGÖTLANDS LÄN</t>
        </is>
      </c>
      <c r="E2691" t="inlineStr">
        <is>
          <t>BOXHOLM</t>
        </is>
      </c>
      <c r="F2691" t="inlineStr">
        <is>
          <t>Övriga Aktiebolag</t>
        </is>
      </c>
      <c r="G2691" t="n">
        <v>0.4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s="2" t="inlineStr"/>
    </row>
    <row r="2692" ht="15" customHeight="1">
      <c r="A2692" t="inlineStr">
        <is>
          <t>A 55227-2020</t>
        </is>
      </c>
      <c r="B2692" s="1" t="n">
        <v>44130</v>
      </c>
      <c r="C2692" s="1" t="n">
        <v>45211</v>
      </c>
      <c r="D2692" t="inlineStr">
        <is>
          <t>ÖSTERGÖTLANDS LÄN</t>
        </is>
      </c>
      <c r="E2692" t="inlineStr">
        <is>
          <t>YDRE</t>
        </is>
      </c>
      <c r="G2692" t="n">
        <v>0.8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s="2" t="inlineStr"/>
    </row>
    <row r="2693" ht="15" customHeight="1">
      <c r="A2693" t="inlineStr">
        <is>
          <t>A 55548-2020</t>
        </is>
      </c>
      <c r="B2693" s="1" t="n">
        <v>44130</v>
      </c>
      <c r="C2693" s="1" t="n">
        <v>45211</v>
      </c>
      <c r="D2693" t="inlineStr">
        <is>
          <t>ÖSTERGÖTLANDS LÄN</t>
        </is>
      </c>
      <c r="E2693" t="inlineStr">
        <is>
          <t>KINDA</t>
        </is>
      </c>
      <c r="G2693" t="n">
        <v>1.1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s="2" t="inlineStr"/>
    </row>
    <row r="2694" ht="15" customHeight="1">
      <c r="A2694" t="inlineStr">
        <is>
          <t>A 55087-2020</t>
        </is>
      </c>
      <c r="B2694" s="1" t="n">
        <v>44130</v>
      </c>
      <c r="C2694" s="1" t="n">
        <v>45211</v>
      </c>
      <c r="D2694" t="inlineStr">
        <is>
          <t>ÖSTERGÖTLANDS LÄN</t>
        </is>
      </c>
      <c r="E2694" t="inlineStr">
        <is>
          <t>YDRE</t>
        </is>
      </c>
      <c r="G2694" t="n">
        <v>0.6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s="2" t="inlineStr"/>
    </row>
    <row r="2695" ht="15" customHeight="1">
      <c r="A2695" t="inlineStr">
        <is>
          <t>A 55115-2020</t>
        </is>
      </c>
      <c r="B2695" s="1" t="n">
        <v>44130</v>
      </c>
      <c r="C2695" s="1" t="n">
        <v>45211</v>
      </c>
      <c r="D2695" t="inlineStr">
        <is>
          <t>ÖSTERGÖTLANDS LÄN</t>
        </is>
      </c>
      <c r="E2695" t="inlineStr">
        <is>
          <t>MOTALA</t>
        </is>
      </c>
      <c r="F2695" t="inlineStr">
        <is>
          <t>Allmännings- och besparingsskogar</t>
        </is>
      </c>
      <c r="G2695" t="n">
        <v>1.5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s="2" t="inlineStr"/>
    </row>
    <row r="2696" ht="15" customHeight="1">
      <c r="A2696" t="inlineStr">
        <is>
          <t>A 55161-2020</t>
        </is>
      </c>
      <c r="B2696" s="1" t="n">
        <v>44130</v>
      </c>
      <c r="C2696" s="1" t="n">
        <v>45211</v>
      </c>
      <c r="D2696" t="inlineStr">
        <is>
          <t>ÖSTERGÖTLANDS LÄN</t>
        </is>
      </c>
      <c r="E2696" t="inlineStr">
        <is>
          <t>MJÖLBY</t>
        </is>
      </c>
      <c r="G2696" t="n">
        <v>3.1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s="2" t="inlineStr"/>
    </row>
    <row r="2697" ht="15" customHeight="1">
      <c r="A2697" t="inlineStr">
        <is>
          <t>A 55305-2020</t>
        </is>
      </c>
      <c r="B2697" s="1" t="n">
        <v>44130</v>
      </c>
      <c r="C2697" s="1" t="n">
        <v>45211</v>
      </c>
      <c r="D2697" t="inlineStr">
        <is>
          <t>ÖSTERGÖTLANDS LÄN</t>
        </is>
      </c>
      <c r="E2697" t="inlineStr">
        <is>
          <t>LINKÖPING</t>
        </is>
      </c>
      <c r="G2697" t="n">
        <v>1.3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s="2" t="inlineStr"/>
    </row>
    <row r="2698" ht="15" customHeight="1">
      <c r="A2698" t="inlineStr">
        <is>
          <t>A 55112-2020</t>
        </is>
      </c>
      <c r="B2698" s="1" t="n">
        <v>44130</v>
      </c>
      <c r="C2698" s="1" t="n">
        <v>45211</v>
      </c>
      <c r="D2698" t="inlineStr">
        <is>
          <t>ÖSTERGÖTLANDS LÄN</t>
        </is>
      </c>
      <c r="E2698" t="inlineStr">
        <is>
          <t>BOXHOLM</t>
        </is>
      </c>
      <c r="F2698" t="inlineStr">
        <is>
          <t>Övriga Aktiebolag</t>
        </is>
      </c>
      <c r="G2698" t="n">
        <v>3.2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s="2" t="inlineStr"/>
    </row>
    <row r="2699" ht="15" customHeight="1">
      <c r="A2699" t="inlineStr">
        <is>
          <t>A 55219-2020</t>
        </is>
      </c>
      <c r="B2699" s="1" t="n">
        <v>44130</v>
      </c>
      <c r="C2699" s="1" t="n">
        <v>45211</v>
      </c>
      <c r="D2699" t="inlineStr">
        <is>
          <t>ÖSTERGÖTLANDS LÄN</t>
        </is>
      </c>
      <c r="E2699" t="inlineStr">
        <is>
          <t>YDRE</t>
        </is>
      </c>
      <c r="G2699" t="n">
        <v>0.8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s="2" t="inlineStr"/>
    </row>
    <row r="2700" ht="15" customHeight="1">
      <c r="A2700" t="inlineStr">
        <is>
          <t>A 55265-2020</t>
        </is>
      </c>
      <c r="B2700" s="1" t="n">
        <v>44130</v>
      </c>
      <c r="C2700" s="1" t="n">
        <v>45211</v>
      </c>
      <c r="D2700" t="inlineStr">
        <is>
          <t>ÖSTERGÖTLANDS LÄN</t>
        </is>
      </c>
      <c r="E2700" t="inlineStr">
        <is>
          <t>LINKÖPING</t>
        </is>
      </c>
      <c r="G2700" t="n">
        <v>0.5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s="2" t="inlineStr"/>
    </row>
    <row r="2701" ht="15" customHeight="1">
      <c r="A2701" t="inlineStr">
        <is>
          <t>A 54973-2020</t>
        </is>
      </c>
      <c r="B2701" s="1" t="n">
        <v>44130</v>
      </c>
      <c r="C2701" s="1" t="n">
        <v>45211</v>
      </c>
      <c r="D2701" t="inlineStr">
        <is>
          <t>ÖSTERGÖTLANDS LÄN</t>
        </is>
      </c>
      <c r="E2701" t="inlineStr">
        <is>
          <t>NORRKÖPING</t>
        </is>
      </c>
      <c r="G2701" t="n">
        <v>0.8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s="2" t="inlineStr"/>
    </row>
    <row r="2702" ht="15" customHeight="1">
      <c r="A2702" t="inlineStr">
        <is>
          <t>A 55102-2020</t>
        </is>
      </c>
      <c r="B2702" s="1" t="n">
        <v>44130</v>
      </c>
      <c r="C2702" s="1" t="n">
        <v>45211</v>
      </c>
      <c r="D2702" t="inlineStr">
        <is>
          <t>ÖSTERGÖTLANDS LÄN</t>
        </is>
      </c>
      <c r="E2702" t="inlineStr">
        <is>
          <t>MJÖLBY</t>
        </is>
      </c>
      <c r="G2702" t="n">
        <v>1.3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s="2" t="inlineStr"/>
    </row>
    <row r="2703" ht="15" customHeight="1">
      <c r="A2703" t="inlineStr">
        <is>
          <t>A 55244-2020</t>
        </is>
      </c>
      <c r="B2703" s="1" t="n">
        <v>44130</v>
      </c>
      <c r="C2703" s="1" t="n">
        <v>45211</v>
      </c>
      <c r="D2703" t="inlineStr">
        <is>
          <t>ÖSTERGÖTLANDS LÄN</t>
        </is>
      </c>
      <c r="E2703" t="inlineStr">
        <is>
          <t>MJÖLBY</t>
        </is>
      </c>
      <c r="G2703" t="n">
        <v>1.9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s="2" t="inlineStr"/>
    </row>
    <row r="2704" ht="15" customHeight="1">
      <c r="A2704" t="inlineStr">
        <is>
          <t>A 55382-2020</t>
        </is>
      </c>
      <c r="B2704" s="1" t="n">
        <v>44131</v>
      </c>
      <c r="C2704" s="1" t="n">
        <v>45211</v>
      </c>
      <c r="D2704" t="inlineStr">
        <is>
          <t>ÖSTERGÖTLANDS LÄN</t>
        </is>
      </c>
      <c r="E2704" t="inlineStr">
        <is>
          <t>MOTALA</t>
        </is>
      </c>
      <c r="G2704" t="n">
        <v>1.7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s="2" t="inlineStr"/>
    </row>
    <row r="2705" ht="15" customHeight="1">
      <c r="A2705" t="inlineStr">
        <is>
          <t>A 55456-2020</t>
        </is>
      </c>
      <c r="B2705" s="1" t="n">
        <v>44131</v>
      </c>
      <c r="C2705" s="1" t="n">
        <v>45211</v>
      </c>
      <c r="D2705" t="inlineStr">
        <is>
          <t>ÖSTERGÖTLANDS LÄN</t>
        </is>
      </c>
      <c r="E2705" t="inlineStr">
        <is>
          <t>ÅTVIDABERG</t>
        </is>
      </c>
      <c r="F2705" t="inlineStr">
        <is>
          <t>Övriga Aktiebolag</t>
        </is>
      </c>
      <c r="G2705" t="n">
        <v>32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s="2" t="inlineStr"/>
    </row>
    <row r="2706" ht="15" customHeight="1">
      <c r="A2706" t="inlineStr">
        <is>
          <t>A 55529-2020</t>
        </is>
      </c>
      <c r="B2706" s="1" t="n">
        <v>44131</v>
      </c>
      <c r="C2706" s="1" t="n">
        <v>45211</v>
      </c>
      <c r="D2706" t="inlineStr">
        <is>
          <t>ÖSTERGÖTLANDS LÄN</t>
        </is>
      </c>
      <c r="E2706" t="inlineStr">
        <is>
          <t>SÖDERKÖPING</t>
        </is>
      </c>
      <c r="G2706" t="n">
        <v>2.5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s="2" t="inlineStr"/>
    </row>
    <row r="2707" ht="15" customHeight="1">
      <c r="A2707" t="inlineStr">
        <is>
          <t>A 55549-2020</t>
        </is>
      </c>
      <c r="B2707" s="1" t="n">
        <v>44131</v>
      </c>
      <c r="C2707" s="1" t="n">
        <v>45211</v>
      </c>
      <c r="D2707" t="inlineStr">
        <is>
          <t>ÖSTERGÖTLANDS LÄN</t>
        </is>
      </c>
      <c r="E2707" t="inlineStr">
        <is>
          <t>SÖDERKÖPING</t>
        </is>
      </c>
      <c r="G2707" t="n">
        <v>3.4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s="2" t="inlineStr"/>
    </row>
    <row r="2708" ht="15" customHeight="1">
      <c r="A2708" t="inlineStr">
        <is>
          <t>A 55405-2020</t>
        </is>
      </c>
      <c r="B2708" s="1" t="n">
        <v>44131</v>
      </c>
      <c r="C2708" s="1" t="n">
        <v>45211</v>
      </c>
      <c r="D2708" t="inlineStr">
        <is>
          <t>ÖSTERGÖTLANDS LÄN</t>
        </is>
      </c>
      <c r="E2708" t="inlineStr">
        <is>
          <t>FINSPÅNG</t>
        </is>
      </c>
      <c r="G2708" t="n">
        <v>2.4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s="2" t="inlineStr"/>
    </row>
    <row r="2709" ht="15" customHeight="1">
      <c r="A2709" t="inlineStr">
        <is>
          <t>A 55467-2020</t>
        </is>
      </c>
      <c r="B2709" s="1" t="n">
        <v>44131</v>
      </c>
      <c r="C2709" s="1" t="n">
        <v>45211</v>
      </c>
      <c r="D2709" t="inlineStr">
        <is>
          <t>ÖSTERGÖTLANDS LÄN</t>
        </is>
      </c>
      <c r="E2709" t="inlineStr">
        <is>
          <t>NORRKÖPING</t>
        </is>
      </c>
      <c r="G2709" t="n">
        <v>1.9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s="2" t="inlineStr"/>
    </row>
    <row r="2710" ht="15" customHeight="1">
      <c r="A2710" t="inlineStr">
        <is>
          <t>A 55685-2020</t>
        </is>
      </c>
      <c r="B2710" s="1" t="n">
        <v>44132</v>
      </c>
      <c r="C2710" s="1" t="n">
        <v>45211</v>
      </c>
      <c r="D2710" t="inlineStr">
        <is>
          <t>ÖSTERGÖTLANDS LÄN</t>
        </is>
      </c>
      <c r="E2710" t="inlineStr">
        <is>
          <t>VADSTENA</t>
        </is>
      </c>
      <c r="G2710" t="n">
        <v>0.9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s="2" t="inlineStr"/>
    </row>
    <row r="2711" ht="15" customHeight="1">
      <c r="A2711" t="inlineStr">
        <is>
          <t>A 55793-2020</t>
        </is>
      </c>
      <c r="B2711" s="1" t="n">
        <v>44132</v>
      </c>
      <c r="C2711" s="1" t="n">
        <v>45211</v>
      </c>
      <c r="D2711" t="inlineStr">
        <is>
          <t>ÖSTERGÖTLANDS LÄN</t>
        </is>
      </c>
      <c r="E2711" t="inlineStr">
        <is>
          <t>ÖDESHÖG</t>
        </is>
      </c>
      <c r="G2711" t="n">
        <v>0.8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s="2" t="inlineStr"/>
    </row>
    <row r="2712" ht="15" customHeight="1">
      <c r="A2712" t="inlineStr">
        <is>
          <t>A 55902-2020</t>
        </is>
      </c>
      <c r="B2712" s="1" t="n">
        <v>44132</v>
      </c>
      <c r="C2712" s="1" t="n">
        <v>45211</v>
      </c>
      <c r="D2712" t="inlineStr">
        <is>
          <t>ÖSTERGÖTLANDS LÄN</t>
        </is>
      </c>
      <c r="E2712" t="inlineStr">
        <is>
          <t>SÖDERKÖPING</t>
        </is>
      </c>
      <c r="G2712" t="n">
        <v>5.3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s="2" t="inlineStr"/>
    </row>
    <row r="2713" ht="15" customHeight="1">
      <c r="A2713" t="inlineStr">
        <is>
          <t>A 55767-2020</t>
        </is>
      </c>
      <c r="B2713" s="1" t="n">
        <v>44132</v>
      </c>
      <c r="C2713" s="1" t="n">
        <v>45211</v>
      </c>
      <c r="D2713" t="inlineStr">
        <is>
          <t>ÖSTERGÖTLANDS LÄN</t>
        </is>
      </c>
      <c r="E2713" t="inlineStr">
        <is>
          <t>BOXHOLM</t>
        </is>
      </c>
      <c r="G2713" t="n">
        <v>1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s="2" t="inlineStr"/>
    </row>
    <row r="2714" ht="15" customHeight="1">
      <c r="A2714" t="inlineStr">
        <is>
          <t>A 55817-2020</t>
        </is>
      </c>
      <c r="B2714" s="1" t="n">
        <v>44132</v>
      </c>
      <c r="C2714" s="1" t="n">
        <v>45211</v>
      </c>
      <c r="D2714" t="inlineStr">
        <is>
          <t>ÖSTERGÖTLANDS LÄN</t>
        </is>
      </c>
      <c r="E2714" t="inlineStr">
        <is>
          <t>VALDEMARSVIK</t>
        </is>
      </c>
      <c r="G2714" t="n">
        <v>0.5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s="2" t="inlineStr"/>
    </row>
    <row r="2715" ht="15" customHeight="1">
      <c r="A2715" t="inlineStr">
        <is>
          <t>A 56189-2020</t>
        </is>
      </c>
      <c r="B2715" s="1" t="n">
        <v>44133</v>
      </c>
      <c r="C2715" s="1" t="n">
        <v>45211</v>
      </c>
      <c r="D2715" t="inlineStr">
        <is>
          <t>ÖSTERGÖTLANDS LÄN</t>
        </is>
      </c>
      <c r="E2715" t="inlineStr">
        <is>
          <t>VALDEMARSVIK</t>
        </is>
      </c>
      <c r="G2715" t="n">
        <v>2.3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s="2" t="inlineStr"/>
    </row>
    <row r="2716" ht="15" customHeight="1">
      <c r="A2716" t="inlineStr">
        <is>
          <t>A 56144-2020</t>
        </is>
      </c>
      <c r="B2716" s="1" t="n">
        <v>44133</v>
      </c>
      <c r="C2716" s="1" t="n">
        <v>45211</v>
      </c>
      <c r="D2716" t="inlineStr">
        <is>
          <t>ÖSTERGÖTLANDS LÄN</t>
        </is>
      </c>
      <c r="E2716" t="inlineStr">
        <is>
          <t>BOXHOLM</t>
        </is>
      </c>
      <c r="F2716" t="inlineStr">
        <is>
          <t>Allmännings- och besparingsskogar</t>
        </is>
      </c>
      <c r="G2716" t="n">
        <v>2.8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s="2" t="inlineStr"/>
    </row>
    <row r="2717" ht="15" customHeight="1">
      <c r="A2717" t="inlineStr">
        <is>
          <t>A 56313-2020</t>
        </is>
      </c>
      <c r="B2717" s="1" t="n">
        <v>44134</v>
      </c>
      <c r="C2717" s="1" t="n">
        <v>45211</v>
      </c>
      <c r="D2717" t="inlineStr">
        <is>
          <t>ÖSTERGÖTLANDS LÄN</t>
        </is>
      </c>
      <c r="E2717" t="inlineStr">
        <is>
          <t>NORRKÖPING</t>
        </is>
      </c>
      <c r="F2717" t="inlineStr">
        <is>
          <t>Holmen skog AB</t>
        </is>
      </c>
      <c r="G2717" t="n">
        <v>0.9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s="2" t="inlineStr"/>
    </row>
    <row r="2718" ht="15" customHeight="1">
      <c r="A2718" t="inlineStr">
        <is>
          <t>A 56465-2020</t>
        </is>
      </c>
      <c r="B2718" s="1" t="n">
        <v>44137</v>
      </c>
      <c r="C2718" s="1" t="n">
        <v>45211</v>
      </c>
      <c r="D2718" t="inlineStr">
        <is>
          <t>ÖSTERGÖTLANDS LÄN</t>
        </is>
      </c>
      <c r="E2718" t="inlineStr">
        <is>
          <t>NORRKÖPING</t>
        </is>
      </c>
      <c r="G2718" t="n">
        <v>3.5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s="2" t="inlineStr"/>
    </row>
    <row r="2719" ht="15" customHeight="1">
      <c r="A2719" t="inlineStr">
        <is>
          <t>A 56557-2020</t>
        </is>
      </c>
      <c r="B2719" s="1" t="n">
        <v>44137</v>
      </c>
      <c r="C2719" s="1" t="n">
        <v>45211</v>
      </c>
      <c r="D2719" t="inlineStr">
        <is>
          <t>ÖSTERGÖTLANDS LÄN</t>
        </is>
      </c>
      <c r="E2719" t="inlineStr">
        <is>
          <t>FINSPÅNG</t>
        </is>
      </c>
      <c r="G2719" t="n">
        <v>2.7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s="2" t="inlineStr"/>
    </row>
    <row r="2720" ht="15" customHeight="1">
      <c r="A2720" t="inlineStr">
        <is>
          <t>A 56587-2020</t>
        </is>
      </c>
      <c r="B2720" s="1" t="n">
        <v>44137</v>
      </c>
      <c r="C2720" s="1" t="n">
        <v>45211</v>
      </c>
      <c r="D2720" t="inlineStr">
        <is>
          <t>ÖSTERGÖTLANDS LÄN</t>
        </is>
      </c>
      <c r="E2720" t="inlineStr">
        <is>
          <t>ÅTVIDABERG</t>
        </is>
      </c>
      <c r="F2720" t="inlineStr">
        <is>
          <t>Övriga Aktiebolag</t>
        </is>
      </c>
      <c r="G2720" t="n">
        <v>3.3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s="2" t="inlineStr"/>
    </row>
    <row r="2721" ht="15" customHeight="1">
      <c r="A2721" t="inlineStr">
        <is>
          <t>A 56528-2020</t>
        </is>
      </c>
      <c r="B2721" s="1" t="n">
        <v>44137</v>
      </c>
      <c r="C2721" s="1" t="n">
        <v>45211</v>
      </c>
      <c r="D2721" t="inlineStr">
        <is>
          <t>ÖSTERGÖTLANDS LÄN</t>
        </is>
      </c>
      <c r="E2721" t="inlineStr">
        <is>
          <t>NORRKÖPING</t>
        </is>
      </c>
      <c r="G2721" t="n">
        <v>1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s="2" t="inlineStr"/>
    </row>
    <row r="2722" ht="15" customHeight="1">
      <c r="A2722" t="inlineStr">
        <is>
          <t>A 56727-2020</t>
        </is>
      </c>
      <c r="B2722" s="1" t="n">
        <v>44137</v>
      </c>
      <c r="C2722" s="1" t="n">
        <v>45211</v>
      </c>
      <c r="D2722" t="inlineStr">
        <is>
          <t>ÖSTERGÖTLANDS LÄN</t>
        </is>
      </c>
      <c r="E2722" t="inlineStr">
        <is>
          <t>ÅTVIDABERG</t>
        </is>
      </c>
      <c r="F2722" t="inlineStr">
        <is>
          <t>Sveaskog</t>
        </is>
      </c>
      <c r="G2722" t="n">
        <v>1.1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s="2" t="inlineStr"/>
    </row>
    <row r="2723" ht="15" customHeight="1">
      <c r="A2723" t="inlineStr">
        <is>
          <t>A 56530-2020</t>
        </is>
      </c>
      <c r="B2723" s="1" t="n">
        <v>44137</v>
      </c>
      <c r="C2723" s="1" t="n">
        <v>45211</v>
      </c>
      <c r="D2723" t="inlineStr">
        <is>
          <t>ÖSTERGÖTLANDS LÄN</t>
        </is>
      </c>
      <c r="E2723" t="inlineStr">
        <is>
          <t>NORRKÖPING</t>
        </is>
      </c>
      <c r="G2723" t="n">
        <v>0.9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s="2" t="inlineStr"/>
    </row>
    <row r="2724" ht="15" customHeight="1">
      <c r="A2724" t="inlineStr">
        <is>
          <t>A 56544-2020</t>
        </is>
      </c>
      <c r="B2724" s="1" t="n">
        <v>44137</v>
      </c>
      <c r="C2724" s="1" t="n">
        <v>45211</v>
      </c>
      <c r="D2724" t="inlineStr">
        <is>
          <t>ÖSTERGÖTLANDS LÄN</t>
        </is>
      </c>
      <c r="E2724" t="inlineStr">
        <is>
          <t>MOTALA</t>
        </is>
      </c>
      <c r="G2724" t="n">
        <v>0.4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s="2" t="inlineStr"/>
    </row>
    <row r="2725" ht="15" customHeight="1">
      <c r="A2725" t="inlineStr">
        <is>
          <t>A 56511-2020</t>
        </is>
      </c>
      <c r="B2725" s="1" t="n">
        <v>44137</v>
      </c>
      <c r="C2725" s="1" t="n">
        <v>45211</v>
      </c>
      <c r="D2725" t="inlineStr">
        <is>
          <t>ÖSTERGÖTLANDS LÄN</t>
        </is>
      </c>
      <c r="E2725" t="inlineStr">
        <is>
          <t>NORRKÖPING</t>
        </is>
      </c>
      <c r="G2725" t="n">
        <v>2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s="2" t="inlineStr"/>
    </row>
    <row r="2726" ht="15" customHeight="1">
      <c r="A2726" t="inlineStr">
        <is>
          <t>A 56842-2020</t>
        </is>
      </c>
      <c r="B2726" s="1" t="n">
        <v>44138</v>
      </c>
      <c r="C2726" s="1" t="n">
        <v>45211</v>
      </c>
      <c r="D2726" t="inlineStr">
        <is>
          <t>ÖSTERGÖTLANDS LÄN</t>
        </is>
      </c>
      <c r="E2726" t="inlineStr">
        <is>
          <t>VALDEMARSVIK</t>
        </is>
      </c>
      <c r="G2726" t="n">
        <v>0.6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s="2" t="inlineStr"/>
    </row>
    <row r="2727" ht="15" customHeight="1">
      <c r="A2727" t="inlineStr">
        <is>
          <t>A 56909-2020</t>
        </is>
      </c>
      <c r="B2727" s="1" t="n">
        <v>44138</v>
      </c>
      <c r="C2727" s="1" t="n">
        <v>45211</v>
      </c>
      <c r="D2727" t="inlineStr">
        <is>
          <t>ÖSTERGÖTLANDS LÄN</t>
        </is>
      </c>
      <c r="E2727" t="inlineStr">
        <is>
          <t>BOXHOLM</t>
        </is>
      </c>
      <c r="G2727" t="n">
        <v>1.1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s="2" t="inlineStr"/>
    </row>
    <row r="2728" ht="15" customHeight="1">
      <c r="A2728" t="inlineStr">
        <is>
          <t>A 57176-2020</t>
        </is>
      </c>
      <c r="B2728" s="1" t="n">
        <v>44138</v>
      </c>
      <c r="C2728" s="1" t="n">
        <v>45211</v>
      </c>
      <c r="D2728" t="inlineStr">
        <is>
          <t>ÖSTERGÖTLANDS LÄN</t>
        </is>
      </c>
      <c r="E2728" t="inlineStr">
        <is>
          <t>YDRE</t>
        </is>
      </c>
      <c r="G2728" t="n">
        <v>4.1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s="2" t="inlineStr"/>
    </row>
    <row r="2729" ht="15" customHeight="1">
      <c r="A2729" t="inlineStr">
        <is>
          <t>A 56792-2020</t>
        </is>
      </c>
      <c r="B2729" s="1" t="n">
        <v>44138</v>
      </c>
      <c r="C2729" s="1" t="n">
        <v>45211</v>
      </c>
      <c r="D2729" t="inlineStr">
        <is>
          <t>ÖSTERGÖTLANDS LÄN</t>
        </is>
      </c>
      <c r="E2729" t="inlineStr">
        <is>
          <t>BOXHOLM</t>
        </is>
      </c>
      <c r="F2729" t="inlineStr">
        <is>
          <t>Övriga Aktiebolag</t>
        </is>
      </c>
      <c r="G2729" t="n">
        <v>1.8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s="2" t="inlineStr"/>
    </row>
    <row r="2730" ht="15" customHeight="1">
      <c r="A2730" t="inlineStr">
        <is>
          <t>A 57395-2020</t>
        </is>
      </c>
      <c r="B2730" s="1" t="n">
        <v>44140</v>
      </c>
      <c r="C2730" s="1" t="n">
        <v>45211</v>
      </c>
      <c r="D2730" t="inlineStr">
        <is>
          <t>ÖSTERGÖTLANDS LÄN</t>
        </is>
      </c>
      <c r="E2730" t="inlineStr">
        <is>
          <t>MOTALA</t>
        </is>
      </c>
      <c r="G2730" t="n">
        <v>8.4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s="2" t="inlineStr"/>
    </row>
    <row r="2731" ht="15" customHeight="1">
      <c r="A2731" t="inlineStr">
        <is>
          <t>A 57556-2020</t>
        </is>
      </c>
      <c r="B2731" s="1" t="n">
        <v>44140</v>
      </c>
      <c r="C2731" s="1" t="n">
        <v>45211</v>
      </c>
      <c r="D2731" t="inlineStr">
        <is>
          <t>ÖSTERGÖTLANDS LÄN</t>
        </is>
      </c>
      <c r="E2731" t="inlineStr">
        <is>
          <t>KINDA</t>
        </is>
      </c>
      <c r="G2731" t="n">
        <v>27.1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s="2" t="inlineStr"/>
    </row>
    <row r="2732" ht="15" customHeight="1">
      <c r="A2732" t="inlineStr">
        <is>
          <t>A 57666-2020</t>
        </is>
      </c>
      <c r="B2732" s="1" t="n">
        <v>44140</v>
      </c>
      <c r="C2732" s="1" t="n">
        <v>45211</v>
      </c>
      <c r="D2732" t="inlineStr">
        <is>
          <t>ÖSTERGÖTLANDS LÄN</t>
        </is>
      </c>
      <c r="E2732" t="inlineStr">
        <is>
          <t>MOTALA</t>
        </is>
      </c>
      <c r="G2732" t="n">
        <v>1.7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s="2" t="inlineStr"/>
    </row>
    <row r="2733" ht="15" customHeight="1">
      <c r="A2733" t="inlineStr">
        <is>
          <t>A 57875-2020</t>
        </is>
      </c>
      <c r="B2733" s="1" t="n">
        <v>44141</v>
      </c>
      <c r="C2733" s="1" t="n">
        <v>45211</v>
      </c>
      <c r="D2733" t="inlineStr">
        <is>
          <t>ÖSTERGÖTLANDS LÄN</t>
        </is>
      </c>
      <c r="E2733" t="inlineStr">
        <is>
          <t>LINKÖPING</t>
        </is>
      </c>
      <c r="G2733" t="n">
        <v>0.1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s="2" t="inlineStr"/>
    </row>
    <row r="2734" ht="15" customHeight="1">
      <c r="A2734" t="inlineStr">
        <is>
          <t>A 57872-2020</t>
        </is>
      </c>
      <c r="B2734" s="1" t="n">
        <v>44141</v>
      </c>
      <c r="C2734" s="1" t="n">
        <v>45211</v>
      </c>
      <c r="D2734" t="inlineStr">
        <is>
          <t>ÖSTERGÖTLANDS LÄN</t>
        </is>
      </c>
      <c r="E2734" t="inlineStr">
        <is>
          <t>YDRE</t>
        </is>
      </c>
      <c r="G2734" t="n">
        <v>2.7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s="2" t="inlineStr"/>
    </row>
    <row r="2735" ht="15" customHeight="1">
      <c r="A2735" t="inlineStr">
        <is>
          <t>A 57935-2020</t>
        </is>
      </c>
      <c r="B2735" s="1" t="n">
        <v>44141</v>
      </c>
      <c r="C2735" s="1" t="n">
        <v>45211</v>
      </c>
      <c r="D2735" t="inlineStr">
        <is>
          <t>ÖSTERGÖTLANDS LÄN</t>
        </is>
      </c>
      <c r="E2735" t="inlineStr">
        <is>
          <t>BOXHOLM</t>
        </is>
      </c>
      <c r="G2735" t="n">
        <v>1.5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s="2" t="inlineStr"/>
    </row>
    <row r="2736" ht="15" customHeight="1">
      <c r="A2736" t="inlineStr">
        <is>
          <t>A 57965-2020</t>
        </is>
      </c>
      <c r="B2736" s="1" t="n">
        <v>44143</v>
      </c>
      <c r="C2736" s="1" t="n">
        <v>45211</v>
      </c>
      <c r="D2736" t="inlineStr">
        <is>
          <t>ÖSTERGÖTLANDS LÄN</t>
        </is>
      </c>
      <c r="E2736" t="inlineStr">
        <is>
          <t>NORRKÖPING</t>
        </is>
      </c>
      <c r="F2736" t="inlineStr">
        <is>
          <t>Allmännings- och besparingsskogar</t>
        </is>
      </c>
      <c r="G2736" t="n">
        <v>8.6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s="2" t="inlineStr"/>
    </row>
    <row r="2737" ht="15" customHeight="1">
      <c r="A2737" t="inlineStr">
        <is>
          <t>A 58087-2020</t>
        </is>
      </c>
      <c r="B2737" s="1" t="n">
        <v>44144</v>
      </c>
      <c r="C2737" s="1" t="n">
        <v>45211</v>
      </c>
      <c r="D2737" t="inlineStr">
        <is>
          <t>ÖSTERGÖTLANDS LÄN</t>
        </is>
      </c>
      <c r="E2737" t="inlineStr">
        <is>
          <t>BOXHOLM</t>
        </is>
      </c>
      <c r="G2737" t="n">
        <v>0.3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s="2" t="inlineStr"/>
    </row>
    <row r="2738" ht="15" customHeight="1">
      <c r="A2738" t="inlineStr">
        <is>
          <t>A 58150-2020</t>
        </is>
      </c>
      <c r="B2738" s="1" t="n">
        <v>44144</v>
      </c>
      <c r="C2738" s="1" t="n">
        <v>45211</v>
      </c>
      <c r="D2738" t="inlineStr">
        <is>
          <t>ÖSTERGÖTLANDS LÄN</t>
        </is>
      </c>
      <c r="E2738" t="inlineStr">
        <is>
          <t>YDRE</t>
        </is>
      </c>
      <c r="F2738" t="inlineStr">
        <is>
          <t>Sveaskog</t>
        </is>
      </c>
      <c r="G2738" t="n">
        <v>1.6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s="2" t="inlineStr"/>
    </row>
    <row r="2739" ht="15" customHeight="1">
      <c r="A2739" t="inlineStr">
        <is>
          <t>A 58105-2020</t>
        </is>
      </c>
      <c r="B2739" s="1" t="n">
        <v>44144</v>
      </c>
      <c r="C2739" s="1" t="n">
        <v>45211</v>
      </c>
      <c r="D2739" t="inlineStr">
        <is>
          <t>ÖSTERGÖTLANDS LÄN</t>
        </is>
      </c>
      <c r="E2739" t="inlineStr">
        <is>
          <t>ÅTVIDABERG</t>
        </is>
      </c>
      <c r="G2739" t="n">
        <v>6.6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s="2" t="inlineStr"/>
    </row>
    <row r="2740" ht="15" customHeight="1">
      <c r="A2740" t="inlineStr">
        <is>
          <t>A 58286-2020</t>
        </is>
      </c>
      <c r="B2740" s="1" t="n">
        <v>44144</v>
      </c>
      <c r="C2740" s="1" t="n">
        <v>45211</v>
      </c>
      <c r="D2740" t="inlineStr">
        <is>
          <t>ÖSTERGÖTLANDS LÄN</t>
        </is>
      </c>
      <c r="E2740" t="inlineStr">
        <is>
          <t>KINDA</t>
        </is>
      </c>
      <c r="G2740" t="n">
        <v>2.8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s="2" t="inlineStr"/>
    </row>
    <row r="2741" ht="15" customHeight="1">
      <c r="A2741" t="inlineStr">
        <is>
          <t>A 58518-2020</t>
        </is>
      </c>
      <c r="B2741" s="1" t="n">
        <v>44145</v>
      </c>
      <c r="C2741" s="1" t="n">
        <v>45211</v>
      </c>
      <c r="D2741" t="inlineStr">
        <is>
          <t>ÖSTERGÖTLANDS LÄN</t>
        </is>
      </c>
      <c r="E2741" t="inlineStr">
        <is>
          <t>BOXHOLM</t>
        </is>
      </c>
      <c r="G2741" t="n">
        <v>0.6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s="2" t="inlineStr"/>
    </row>
    <row r="2742" ht="15" customHeight="1">
      <c r="A2742" t="inlineStr">
        <is>
          <t>A 58632-2020</t>
        </is>
      </c>
      <c r="B2742" s="1" t="n">
        <v>44145</v>
      </c>
      <c r="C2742" s="1" t="n">
        <v>45211</v>
      </c>
      <c r="D2742" t="inlineStr">
        <is>
          <t>ÖSTERGÖTLANDS LÄN</t>
        </is>
      </c>
      <c r="E2742" t="inlineStr">
        <is>
          <t>FINSPÅNG</t>
        </is>
      </c>
      <c r="G2742" t="n">
        <v>10.4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s="2" t="inlineStr"/>
    </row>
    <row r="2743" ht="15" customHeight="1">
      <c r="A2743" t="inlineStr">
        <is>
          <t>A 58621-2020</t>
        </is>
      </c>
      <c r="B2743" s="1" t="n">
        <v>44145</v>
      </c>
      <c r="C2743" s="1" t="n">
        <v>45211</v>
      </c>
      <c r="D2743" t="inlineStr">
        <is>
          <t>ÖSTERGÖTLANDS LÄN</t>
        </is>
      </c>
      <c r="E2743" t="inlineStr">
        <is>
          <t>ÖDESHÖG</t>
        </is>
      </c>
      <c r="G2743" t="n">
        <v>3.9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s="2" t="inlineStr"/>
    </row>
    <row r="2744" ht="15" customHeight="1">
      <c r="A2744" t="inlineStr">
        <is>
          <t>A 58829-2020</t>
        </is>
      </c>
      <c r="B2744" s="1" t="n">
        <v>44146</v>
      </c>
      <c r="C2744" s="1" t="n">
        <v>45211</v>
      </c>
      <c r="D2744" t="inlineStr">
        <is>
          <t>ÖSTERGÖTLANDS LÄN</t>
        </is>
      </c>
      <c r="E2744" t="inlineStr">
        <is>
          <t>NORRKÖPING</t>
        </is>
      </c>
      <c r="F2744" t="inlineStr">
        <is>
          <t>Holmen skog AB</t>
        </is>
      </c>
      <c r="G2744" t="n">
        <v>0.5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s="2" t="inlineStr"/>
    </row>
    <row r="2745" ht="15" customHeight="1">
      <c r="A2745" t="inlineStr">
        <is>
          <t>A 58714-2020</t>
        </is>
      </c>
      <c r="B2745" s="1" t="n">
        <v>44146</v>
      </c>
      <c r="C2745" s="1" t="n">
        <v>45211</v>
      </c>
      <c r="D2745" t="inlineStr">
        <is>
          <t>ÖSTERGÖTLANDS LÄN</t>
        </is>
      </c>
      <c r="E2745" t="inlineStr">
        <is>
          <t>LINKÖPING</t>
        </is>
      </c>
      <c r="G2745" t="n">
        <v>1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s="2" t="inlineStr"/>
    </row>
    <row r="2746" ht="15" customHeight="1">
      <c r="A2746" t="inlineStr">
        <is>
          <t>A 58785-2020</t>
        </is>
      </c>
      <c r="B2746" s="1" t="n">
        <v>44146</v>
      </c>
      <c r="C2746" s="1" t="n">
        <v>45211</v>
      </c>
      <c r="D2746" t="inlineStr">
        <is>
          <t>ÖSTERGÖTLANDS LÄN</t>
        </is>
      </c>
      <c r="E2746" t="inlineStr">
        <is>
          <t>BOXHOLM</t>
        </is>
      </c>
      <c r="G2746" t="n">
        <v>4.5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s="2" t="inlineStr"/>
    </row>
    <row r="2747" ht="15" customHeight="1">
      <c r="A2747" t="inlineStr">
        <is>
          <t>A 58963-2020</t>
        </is>
      </c>
      <c r="B2747" s="1" t="n">
        <v>44146</v>
      </c>
      <c r="C2747" s="1" t="n">
        <v>45211</v>
      </c>
      <c r="D2747" t="inlineStr">
        <is>
          <t>ÖSTERGÖTLANDS LÄN</t>
        </is>
      </c>
      <c r="E2747" t="inlineStr">
        <is>
          <t>NORRKÖPING</t>
        </is>
      </c>
      <c r="F2747" t="inlineStr">
        <is>
          <t>Allmännings- och besparingsskogar</t>
        </is>
      </c>
      <c r="G2747" t="n">
        <v>1.1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s="2" t="inlineStr"/>
    </row>
    <row r="2748" ht="15" customHeight="1">
      <c r="A2748" t="inlineStr">
        <is>
          <t>A 59021-2020</t>
        </is>
      </c>
      <c r="B2748" s="1" t="n">
        <v>44147</v>
      </c>
      <c r="C2748" s="1" t="n">
        <v>45211</v>
      </c>
      <c r="D2748" t="inlineStr">
        <is>
          <t>ÖSTERGÖTLANDS LÄN</t>
        </is>
      </c>
      <c r="E2748" t="inlineStr">
        <is>
          <t>SÖDERKÖPING</t>
        </is>
      </c>
      <c r="G2748" t="n">
        <v>0.6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s="2" t="inlineStr"/>
    </row>
    <row r="2749" ht="15" customHeight="1">
      <c r="A2749" t="inlineStr">
        <is>
          <t>A 59325-2020</t>
        </is>
      </c>
      <c r="B2749" s="1" t="n">
        <v>44147</v>
      </c>
      <c r="C2749" s="1" t="n">
        <v>45211</v>
      </c>
      <c r="D2749" t="inlineStr">
        <is>
          <t>ÖSTERGÖTLANDS LÄN</t>
        </is>
      </c>
      <c r="E2749" t="inlineStr">
        <is>
          <t>ÅTVIDABERG</t>
        </is>
      </c>
      <c r="F2749" t="inlineStr">
        <is>
          <t>Sveaskog</t>
        </is>
      </c>
      <c r="G2749" t="n">
        <v>0.6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s="2" t="inlineStr"/>
    </row>
    <row r="2750" ht="15" customHeight="1">
      <c r="A2750" t="inlineStr">
        <is>
          <t>A 59023-2020</t>
        </is>
      </c>
      <c r="B2750" s="1" t="n">
        <v>44147</v>
      </c>
      <c r="C2750" s="1" t="n">
        <v>45211</v>
      </c>
      <c r="D2750" t="inlineStr">
        <is>
          <t>ÖSTERGÖTLANDS LÄN</t>
        </is>
      </c>
      <c r="E2750" t="inlineStr">
        <is>
          <t>NORRKÖPING</t>
        </is>
      </c>
      <c r="G2750" t="n">
        <v>1.1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s="2" t="inlineStr"/>
    </row>
    <row r="2751" ht="15" customHeight="1">
      <c r="A2751" t="inlineStr">
        <is>
          <t>A 59288-2020</t>
        </is>
      </c>
      <c r="B2751" s="1" t="n">
        <v>44147</v>
      </c>
      <c r="C2751" s="1" t="n">
        <v>45211</v>
      </c>
      <c r="D2751" t="inlineStr">
        <is>
          <t>ÖSTERGÖTLANDS LÄN</t>
        </is>
      </c>
      <c r="E2751" t="inlineStr">
        <is>
          <t>LINKÖPING</t>
        </is>
      </c>
      <c r="G2751" t="n">
        <v>2.8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s="2" t="inlineStr"/>
    </row>
    <row r="2752" ht="15" customHeight="1">
      <c r="A2752" t="inlineStr">
        <is>
          <t>A 59430-2020</t>
        </is>
      </c>
      <c r="B2752" s="1" t="n">
        <v>44148</v>
      </c>
      <c r="C2752" s="1" t="n">
        <v>45211</v>
      </c>
      <c r="D2752" t="inlineStr">
        <is>
          <t>ÖSTERGÖTLANDS LÄN</t>
        </is>
      </c>
      <c r="E2752" t="inlineStr">
        <is>
          <t>FINSPÅNG</t>
        </is>
      </c>
      <c r="G2752" t="n">
        <v>0.9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s="2" t="inlineStr"/>
    </row>
    <row r="2753" ht="15" customHeight="1">
      <c r="A2753" t="inlineStr">
        <is>
          <t>A 59445-2020</t>
        </is>
      </c>
      <c r="B2753" s="1" t="n">
        <v>44148</v>
      </c>
      <c r="C2753" s="1" t="n">
        <v>45211</v>
      </c>
      <c r="D2753" t="inlineStr">
        <is>
          <t>ÖSTERGÖTLANDS LÄN</t>
        </is>
      </c>
      <c r="E2753" t="inlineStr">
        <is>
          <t>SÖDERKÖPING</t>
        </is>
      </c>
      <c r="G2753" t="n">
        <v>0.4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s="2" t="inlineStr"/>
    </row>
    <row r="2754" ht="15" customHeight="1">
      <c r="A2754" t="inlineStr">
        <is>
          <t>A 59694-2020</t>
        </is>
      </c>
      <c r="B2754" s="1" t="n">
        <v>44151</v>
      </c>
      <c r="C2754" s="1" t="n">
        <v>45211</v>
      </c>
      <c r="D2754" t="inlineStr">
        <is>
          <t>ÖSTERGÖTLANDS LÄN</t>
        </is>
      </c>
      <c r="E2754" t="inlineStr">
        <is>
          <t>FINSPÅNG</t>
        </is>
      </c>
      <c r="G2754" t="n">
        <v>0.5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s="2" t="inlineStr"/>
    </row>
    <row r="2755" ht="15" customHeight="1">
      <c r="A2755" t="inlineStr">
        <is>
          <t>A 59954-2020</t>
        </is>
      </c>
      <c r="B2755" s="1" t="n">
        <v>44151</v>
      </c>
      <c r="C2755" s="1" t="n">
        <v>45211</v>
      </c>
      <c r="D2755" t="inlineStr">
        <is>
          <t>ÖSTERGÖTLANDS LÄN</t>
        </is>
      </c>
      <c r="E2755" t="inlineStr">
        <is>
          <t>LINKÖPING</t>
        </is>
      </c>
      <c r="G2755" t="n">
        <v>1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s="2" t="inlineStr"/>
    </row>
    <row r="2756" ht="15" customHeight="1">
      <c r="A2756" t="inlineStr">
        <is>
          <t>A 59765-2020</t>
        </is>
      </c>
      <c r="B2756" s="1" t="n">
        <v>44151</v>
      </c>
      <c r="C2756" s="1" t="n">
        <v>45211</v>
      </c>
      <c r="D2756" t="inlineStr">
        <is>
          <t>ÖSTERGÖTLANDS LÄN</t>
        </is>
      </c>
      <c r="E2756" t="inlineStr">
        <is>
          <t>FINSPÅNG</t>
        </is>
      </c>
      <c r="G2756" t="n">
        <v>1.4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s="2" t="inlineStr"/>
    </row>
    <row r="2757" ht="15" customHeight="1">
      <c r="A2757" t="inlineStr">
        <is>
          <t>A 59835-2020</t>
        </is>
      </c>
      <c r="B2757" s="1" t="n">
        <v>44151</v>
      </c>
      <c r="C2757" s="1" t="n">
        <v>45211</v>
      </c>
      <c r="D2757" t="inlineStr">
        <is>
          <t>ÖSTERGÖTLANDS LÄN</t>
        </is>
      </c>
      <c r="E2757" t="inlineStr">
        <is>
          <t>VALDEMARSVIK</t>
        </is>
      </c>
      <c r="F2757" t="inlineStr">
        <is>
          <t>Kommuner</t>
        </is>
      </c>
      <c r="G2757" t="n">
        <v>0.5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s="2" t="inlineStr"/>
    </row>
    <row r="2758" ht="15" customHeight="1">
      <c r="A2758" t="inlineStr">
        <is>
          <t>A 59899-2020</t>
        </is>
      </c>
      <c r="B2758" s="1" t="n">
        <v>44151</v>
      </c>
      <c r="C2758" s="1" t="n">
        <v>45211</v>
      </c>
      <c r="D2758" t="inlineStr">
        <is>
          <t>ÖSTERGÖTLANDS LÄN</t>
        </is>
      </c>
      <c r="E2758" t="inlineStr">
        <is>
          <t>NORRKÖPING</t>
        </is>
      </c>
      <c r="G2758" t="n">
        <v>0.8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s="2" t="inlineStr"/>
    </row>
    <row r="2759" ht="15" customHeight="1">
      <c r="A2759" t="inlineStr">
        <is>
          <t>A 59931-2020</t>
        </is>
      </c>
      <c r="B2759" s="1" t="n">
        <v>44151</v>
      </c>
      <c r="C2759" s="1" t="n">
        <v>45211</v>
      </c>
      <c r="D2759" t="inlineStr">
        <is>
          <t>ÖSTERGÖTLANDS LÄN</t>
        </is>
      </c>
      <c r="E2759" t="inlineStr">
        <is>
          <t>FINSPÅNG</t>
        </is>
      </c>
      <c r="G2759" t="n">
        <v>2.4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s="2" t="inlineStr"/>
    </row>
    <row r="2760" ht="15" customHeight="1">
      <c r="A2760" t="inlineStr">
        <is>
          <t>A 59969-2020</t>
        </is>
      </c>
      <c r="B2760" s="1" t="n">
        <v>44151</v>
      </c>
      <c r="C2760" s="1" t="n">
        <v>45211</v>
      </c>
      <c r="D2760" t="inlineStr">
        <is>
          <t>ÖSTERGÖTLANDS LÄN</t>
        </is>
      </c>
      <c r="E2760" t="inlineStr">
        <is>
          <t>LINKÖPING</t>
        </is>
      </c>
      <c r="G2760" t="n">
        <v>2.2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s="2" t="inlineStr"/>
    </row>
    <row r="2761" ht="15" customHeight="1">
      <c r="A2761" t="inlineStr">
        <is>
          <t>A 60165-2020</t>
        </is>
      </c>
      <c r="B2761" s="1" t="n">
        <v>44152</v>
      </c>
      <c r="C2761" s="1" t="n">
        <v>45211</v>
      </c>
      <c r="D2761" t="inlineStr">
        <is>
          <t>ÖSTERGÖTLANDS LÄN</t>
        </is>
      </c>
      <c r="E2761" t="inlineStr">
        <is>
          <t>VADSTENA</t>
        </is>
      </c>
      <c r="G2761" t="n">
        <v>0.9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s="2" t="inlineStr"/>
    </row>
    <row r="2762" ht="15" customHeight="1">
      <c r="A2762" t="inlineStr">
        <is>
          <t>A 60210-2020</t>
        </is>
      </c>
      <c r="B2762" s="1" t="n">
        <v>44152</v>
      </c>
      <c r="C2762" s="1" t="n">
        <v>45211</v>
      </c>
      <c r="D2762" t="inlineStr">
        <is>
          <t>ÖSTERGÖTLANDS LÄN</t>
        </is>
      </c>
      <c r="E2762" t="inlineStr">
        <is>
          <t>NORRKÖPING</t>
        </is>
      </c>
      <c r="G2762" t="n">
        <v>2.1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s="2" t="inlineStr"/>
    </row>
    <row r="2763" ht="15" customHeight="1">
      <c r="A2763" t="inlineStr">
        <is>
          <t>A 60286-2020</t>
        </is>
      </c>
      <c r="B2763" s="1" t="n">
        <v>44152</v>
      </c>
      <c r="C2763" s="1" t="n">
        <v>45211</v>
      </c>
      <c r="D2763" t="inlineStr">
        <is>
          <t>ÖSTERGÖTLANDS LÄN</t>
        </is>
      </c>
      <c r="E2763" t="inlineStr">
        <is>
          <t>ÖDESHÖG</t>
        </is>
      </c>
      <c r="F2763" t="inlineStr">
        <is>
          <t>Kyrkan</t>
        </is>
      </c>
      <c r="G2763" t="n">
        <v>2.4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s="2" t="inlineStr"/>
    </row>
    <row r="2764" ht="15" customHeight="1">
      <c r="A2764" t="inlineStr">
        <is>
          <t>A 60139-2020</t>
        </is>
      </c>
      <c r="B2764" s="1" t="n">
        <v>44152</v>
      </c>
      <c r="C2764" s="1" t="n">
        <v>45211</v>
      </c>
      <c r="D2764" t="inlineStr">
        <is>
          <t>ÖSTERGÖTLANDS LÄN</t>
        </is>
      </c>
      <c r="E2764" t="inlineStr">
        <is>
          <t>MJÖLBY</t>
        </is>
      </c>
      <c r="G2764" t="n">
        <v>0.8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s="2" t="inlineStr"/>
    </row>
    <row r="2765" ht="15" customHeight="1">
      <c r="A2765" t="inlineStr">
        <is>
          <t>A 60159-2020</t>
        </is>
      </c>
      <c r="B2765" s="1" t="n">
        <v>44152</v>
      </c>
      <c r="C2765" s="1" t="n">
        <v>45211</v>
      </c>
      <c r="D2765" t="inlineStr">
        <is>
          <t>ÖSTERGÖTLANDS LÄN</t>
        </is>
      </c>
      <c r="E2765" t="inlineStr">
        <is>
          <t>BOXHOLM</t>
        </is>
      </c>
      <c r="G2765" t="n">
        <v>0.5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s="2" t="inlineStr"/>
    </row>
    <row r="2766" ht="15" customHeight="1">
      <c r="A2766" t="inlineStr">
        <is>
          <t>A 60325-2020</t>
        </is>
      </c>
      <c r="B2766" s="1" t="n">
        <v>44152</v>
      </c>
      <c r="C2766" s="1" t="n">
        <v>45211</v>
      </c>
      <c r="D2766" t="inlineStr">
        <is>
          <t>ÖSTERGÖTLANDS LÄN</t>
        </is>
      </c>
      <c r="E2766" t="inlineStr">
        <is>
          <t>MOTALA</t>
        </is>
      </c>
      <c r="G2766" t="n">
        <v>0.7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s="2" t="inlineStr"/>
    </row>
    <row r="2767" ht="15" customHeight="1">
      <c r="A2767" t="inlineStr">
        <is>
          <t>A 60129-2020</t>
        </is>
      </c>
      <c r="B2767" s="1" t="n">
        <v>44152</v>
      </c>
      <c r="C2767" s="1" t="n">
        <v>45211</v>
      </c>
      <c r="D2767" t="inlineStr">
        <is>
          <t>ÖSTERGÖTLANDS LÄN</t>
        </is>
      </c>
      <c r="E2767" t="inlineStr">
        <is>
          <t>LINKÖPING</t>
        </is>
      </c>
      <c r="F2767" t="inlineStr">
        <is>
          <t>Övriga statliga verk och myndigheter</t>
        </is>
      </c>
      <c r="G2767" t="n">
        <v>2.5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s="2" t="inlineStr"/>
    </row>
    <row r="2768" ht="15" customHeight="1">
      <c r="A2768" t="inlineStr">
        <is>
          <t>A 60153-2020</t>
        </is>
      </c>
      <c r="B2768" s="1" t="n">
        <v>44152</v>
      </c>
      <c r="C2768" s="1" t="n">
        <v>45211</v>
      </c>
      <c r="D2768" t="inlineStr">
        <is>
          <t>ÖSTERGÖTLANDS LÄN</t>
        </is>
      </c>
      <c r="E2768" t="inlineStr">
        <is>
          <t>MJÖLBY</t>
        </is>
      </c>
      <c r="G2768" t="n">
        <v>0.8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s="2" t="inlineStr"/>
    </row>
    <row r="2769" ht="15" customHeight="1">
      <c r="A2769" t="inlineStr">
        <is>
          <t>A 60175-2020</t>
        </is>
      </c>
      <c r="B2769" s="1" t="n">
        <v>44152</v>
      </c>
      <c r="C2769" s="1" t="n">
        <v>45211</v>
      </c>
      <c r="D2769" t="inlineStr">
        <is>
          <t>ÖSTERGÖTLANDS LÄN</t>
        </is>
      </c>
      <c r="E2769" t="inlineStr">
        <is>
          <t>BOXHOLM</t>
        </is>
      </c>
      <c r="G2769" t="n">
        <v>1.2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s="2" t="inlineStr"/>
    </row>
    <row r="2770" ht="15" customHeight="1">
      <c r="A2770" t="inlineStr">
        <is>
          <t>A 60634-2020</t>
        </is>
      </c>
      <c r="B2770" s="1" t="n">
        <v>44153</v>
      </c>
      <c r="C2770" s="1" t="n">
        <v>45211</v>
      </c>
      <c r="D2770" t="inlineStr">
        <is>
          <t>ÖSTERGÖTLANDS LÄN</t>
        </is>
      </c>
      <c r="E2770" t="inlineStr">
        <is>
          <t>LINKÖPING</t>
        </is>
      </c>
      <c r="F2770" t="inlineStr">
        <is>
          <t>Övriga Aktiebolag</t>
        </is>
      </c>
      <c r="G2770" t="n">
        <v>1.5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s="2" t="inlineStr"/>
    </row>
    <row r="2771" ht="15" customHeight="1">
      <c r="A2771" t="inlineStr">
        <is>
          <t>A 61262-2020</t>
        </is>
      </c>
      <c r="B2771" s="1" t="n">
        <v>44155</v>
      </c>
      <c r="C2771" s="1" t="n">
        <v>45211</v>
      </c>
      <c r="D2771" t="inlineStr">
        <is>
          <t>ÖSTERGÖTLANDS LÄN</t>
        </is>
      </c>
      <c r="E2771" t="inlineStr">
        <is>
          <t>FINSPÅNG</t>
        </is>
      </c>
      <c r="G2771" t="n">
        <v>3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s="2" t="inlineStr"/>
    </row>
    <row r="2772" ht="15" customHeight="1">
      <c r="A2772" t="inlineStr">
        <is>
          <t>A 61384-2020</t>
        </is>
      </c>
      <c r="B2772" s="1" t="n">
        <v>44155</v>
      </c>
      <c r="C2772" s="1" t="n">
        <v>45211</v>
      </c>
      <c r="D2772" t="inlineStr">
        <is>
          <t>ÖSTERGÖTLANDS LÄN</t>
        </is>
      </c>
      <c r="E2772" t="inlineStr">
        <is>
          <t>FINSPÅNG</t>
        </is>
      </c>
      <c r="G2772" t="n">
        <v>5.4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s="2" t="inlineStr"/>
    </row>
    <row r="2773" ht="15" customHeight="1">
      <c r="A2773" t="inlineStr">
        <is>
          <t>A 61707-2020</t>
        </is>
      </c>
      <c r="B2773" s="1" t="n">
        <v>44158</v>
      </c>
      <c r="C2773" s="1" t="n">
        <v>45211</v>
      </c>
      <c r="D2773" t="inlineStr">
        <is>
          <t>ÖSTERGÖTLANDS LÄN</t>
        </is>
      </c>
      <c r="E2773" t="inlineStr">
        <is>
          <t>NORRKÖPING</t>
        </is>
      </c>
      <c r="G2773" t="n">
        <v>2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s="2" t="inlineStr"/>
    </row>
    <row r="2774" ht="15" customHeight="1">
      <c r="A2774" t="inlineStr">
        <is>
          <t>A 61782-2020</t>
        </is>
      </c>
      <c r="B2774" s="1" t="n">
        <v>44158</v>
      </c>
      <c r="C2774" s="1" t="n">
        <v>45211</v>
      </c>
      <c r="D2774" t="inlineStr">
        <is>
          <t>ÖSTERGÖTLANDS LÄN</t>
        </is>
      </c>
      <c r="E2774" t="inlineStr">
        <is>
          <t>FINSPÅNG</t>
        </is>
      </c>
      <c r="G2774" t="n">
        <v>2.8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s="2" t="inlineStr"/>
    </row>
    <row r="2775" ht="15" customHeight="1">
      <c r="A2775" t="inlineStr">
        <is>
          <t>A 61783-2020</t>
        </is>
      </c>
      <c r="B2775" s="1" t="n">
        <v>44158</v>
      </c>
      <c r="C2775" s="1" t="n">
        <v>45211</v>
      </c>
      <c r="D2775" t="inlineStr">
        <is>
          <t>ÖSTERGÖTLANDS LÄN</t>
        </is>
      </c>
      <c r="E2775" t="inlineStr">
        <is>
          <t>FINSPÅNG</t>
        </is>
      </c>
      <c r="G2775" t="n">
        <v>4.5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s="2" t="inlineStr"/>
    </row>
    <row r="2776" ht="15" customHeight="1">
      <c r="A2776" t="inlineStr">
        <is>
          <t>A 62135-2020</t>
        </is>
      </c>
      <c r="B2776" s="1" t="n">
        <v>44158</v>
      </c>
      <c r="C2776" s="1" t="n">
        <v>45211</v>
      </c>
      <c r="D2776" t="inlineStr">
        <is>
          <t>ÖSTERGÖTLANDS LÄN</t>
        </is>
      </c>
      <c r="E2776" t="inlineStr">
        <is>
          <t>MOTALA</t>
        </is>
      </c>
      <c r="G2776" t="n">
        <v>10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s="2" t="inlineStr"/>
    </row>
    <row r="2777" ht="15" customHeight="1">
      <c r="A2777" t="inlineStr">
        <is>
          <t>A 61785-2020</t>
        </is>
      </c>
      <c r="B2777" s="1" t="n">
        <v>44158</v>
      </c>
      <c r="C2777" s="1" t="n">
        <v>45211</v>
      </c>
      <c r="D2777" t="inlineStr">
        <is>
          <t>ÖSTERGÖTLANDS LÄN</t>
        </is>
      </c>
      <c r="E2777" t="inlineStr">
        <is>
          <t>NORRKÖPING</t>
        </is>
      </c>
      <c r="F2777" t="inlineStr">
        <is>
          <t>Holmen skog AB</t>
        </is>
      </c>
      <c r="G2777" t="n">
        <v>0.9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s="2" t="inlineStr"/>
    </row>
    <row r="2778" ht="15" customHeight="1">
      <c r="A2778" t="inlineStr">
        <is>
          <t>A 62117-2020</t>
        </is>
      </c>
      <c r="B2778" s="1" t="n">
        <v>44158</v>
      </c>
      <c r="C2778" s="1" t="n">
        <v>45211</v>
      </c>
      <c r="D2778" t="inlineStr">
        <is>
          <t>ÖSTERGÖTLANDS LÄN</t>
        </is>
      </c>
      <c r="E2778" t="inlineStr">
        <is>
          <t>BOXHOLM</t>
        </is>
      </c>
      <c r="G2778" t="n">
        <v>2.3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s="2" t="inlineStr"/>
    </row>
    <row r="2779" ht="15" customHeight="1">
      <c r="A2779" t="inlineStr">
        <is>
          <t>A 62096-2020</t>
        </is>
      </c>
      <c r="B2779" s="1" t="n">
        <v>44159</v>
      </c>
      <c r="C2779" s="1" t="n">
        <v>45211</v>
      </c>
      <c r="D2779" t="inlineStr">
        <is>
          <t>ÖSTERGÖTLANDS LÄN</t>
        </is>
      </c>
      <c r="E2779" t="inlineStr">
        <is>
          <t>MJÖLBY</t>
        </is>
      </c>
      <c r="G2779" t="n">
        <v>1.1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s="2" t="inlineStr"/>
    </row>
    <row r="2780" ht="15" customHeight="1">
      <c r="A2780" t="inlineStr">
        <is>
          <t>A 62374-2020</t>
        </is>
      </c>
      <c r="B2780" s="1" t="n">
        <v>44159</v>
      </c>
      <c r="C2780" s="1" t="n">
        <v>45211</v>
      </c>
      <c r="D2780" t="inlineStr">
        <is>
          <t>ÖSTERGÖTLANDS LÄN</t>
        </is>
      </c>
      <c r="E2780" t="inlineStr">
        <is>
          <t>LINKÖPING</t>
        </is>
      </c>
      <c r="G2780" t="n">
        <v>1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s="2" t="inlineStr"/>
    </row>
    <row r="2781" ht="15" customHeight="1">
      <c r="A2781" t="inlineStr">
        <is>
          <t>A 61964-2020</t>
        </is>
      </c>
      <c r="B2781" s="1" t="n">
        <v>44159</v>
      </c>
      <c r="C2781" s="1" t="n">
        <v>45211</v>
      </c>
      <c r="D2781" t="inlineStr">
        <is>
          <t>ÖSTERGÖTLANDS LÄN</t>
        </is>
      </c>
      <c r="E2781" t="inlineStr">
        <is>
          <t>FINSPÅNG</t>
        </is>
      </c>
      <c r="F2781" t="inlineStr">
        <is>
          <t>Holmen skog AB</t>
        </is>
      </c>
      <c r="G2781" t="n">
        <v>0.8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s="2" t="inlineStr"/>
    </row>
    <row r="2782" ht="15" customHeight="1">
      <c r="A2782" t="inlineStr">
        <is>
          <t>A 62436-2020</t>
        </is>
      </c>
      <c r="B2782" s="1" t="n">
        <v>44160</v>
      </c>
      <c r="C2782" s="1" t="n">
        <v>45211</v>
      </c>
      <c r="D2782" t="inlineStr">
        <is>
          <t>ÖSTERGÖTLANDS LÄN</t>
        </is>
      </c>
      <c r="E2782" t="inlineStr">
        <is>
          <t>FINSPÅNG</t>
        </is>
      </c>
      <c r="F2782" t="inlineStr">
        <is>
          <t>Holmen skog AB</t>
        </is>
      </c>
      <c r="G2782" t="n">
        <v>0.5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s="2" t="inlineStr"/>
    </row>
    <row r="2783" ht="15" customHeight="1">
      <c r="A2783" t="inlineStr">
        <is>
          <t>A 62271-2020</t>
        </is>
      </c>
      <c r="B2783" s="1" t="n">
        <v>44160</v>
      </c>
      <c r="C2783" s="1" t="n">
        <v>45211</v>
      </c>
      <c r="D2783" t="inlineStr">
        <is>
          <t>ÖSTERGÖTLANDS LÄN</t>
        </is>
      </c>
      <c r="E2783" t="inlineStr">
        <is>
          <t>ÅTVIDABERG</t>
        </is>
      </c>
      <c r="G2783" t="n">
        <v>0.8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s="2" t="inlineStr"/>
    </row>
    <row r="2784" ht="15" customHeight="1">
      <c r="A2784" t="inlineStr">
        <is>
          <t>A 62413-2020</t>
        </is>
      </c>
      <c r="B2784" s="1" t="n">
        <v>44160</v>
      </c>
      <c r="C2784" s="1" t="n">
        <v>45211</v>
      </c>
      <c r="D2784" t="inlineStr">
        <is>
          <t>ÖSTERGÖTLANDS LÄN</t>
        </is>
      </c>
      <c r="E2784" t="inlineStr">
        <is>
          <t>FINSPÅNG</t>
        </is>
      </c>
      <c r="F2784" t="inlineStr">
        <is>
          <t>Holmen skog AB</t>
        </is>
      </c>
      <c r="G2784" t="n">
        <v>0.6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s="2" t="inlineStr"/>
    </row>
    <row r="2785" ht="15" customHeight="1">
      <c r="A2785" t="inlineStr">
        <is>
          <t>A 62498-2020</t>
        </is>
      </c>
      <c r="B2785" s="1" t="n">
        <v>44160</v>
      </c>
      <c r="C2785" s="1" t="n">
        <v>45211</v>
      </c>
      <c r="D2785" t="inlineStr">
        <is>
          <t>ÖSTERGÖTLANDS LÄN</t>
        </is>
      </c>
      <c r="E2785" t="inlineStr">
        <is>
          <t>FINSPÅNG</t>
        </is>
      </c>
      <c r="F2785" t="inlineStr">
        <is>
          <t>Holmen skog AB</t>
        </is>
      </c>
      <c r="G2785" t="n">
        <v>0.9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s="2" t="inlineStr"/>
    </row>
    <row r="2786" ht="15" customHeight="1">
      <c r="A2786" t="inlineStr">
        <is>
          <t>A 62558-2020</t>
        </is>
      </c>
      <c r="B2786" s="1" t="n">
        <v>44160</v>
      </c>
      <c r="C2786" s="1" t="n">
        <v>45211</v>
      </c>
      <c r="D2786" t="inlineStr">
        <is>
          <t>ÖSTERGÖTLANDS LÄN</t>
        </is>
      </c>
      <c r="E2786" t="inlineStr">
        <is>
          <t>KINDA</t>
        </is>
      </c>
      <c r="G2786" t="n">
        <v>5.5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s="2" t="inlineStr"/>
    </row>
    <row r="2787" ht="15" customHeight="1">
      <c r="A2787" t="inlineStr">
        <is>
          <t>A 62598-2020</t>
        </is>
      </c>
      <c r="B2787" s="1" t="n">
        <v>44161</v>
      </c>
      <c r="C2787" s="1" t="n">
        <v>45211</v>
      </c>
      <c r="D2787" t="inlineStr">
        <is>
          <t>ÖSTERGÖTLANDS LÄN</t>
        </is>
      </c>
      <c r="E2787" t="inlineStr">
        <is>
          <t>MOTALA</t>
        </is>
      </c>
      <c r="G2787" t="n">
        <v>0.6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s="2" t="inlineStr"/>
    </row>
    <row r="2788" ht="15" customHeight="1">
      <c r="A2788" t="inlineStr">
        <is>
          <t>A 62800-2020</t>
        </is>
      </c>
      <c r="B2788" s="1" t="n">
        <v>44161</v>
      </c>
      <c r="C2788" s="1" t="n">
        <v>45211</v>
      </c>
      <c r="D2788" t="inlineStr">
        <is>
          <t>ÖSTERGÖTLANDS LÄN</t>
        </is>
      </c>
      <c r="E2788" t="inlineStr">
        <is>
          <t>NORRKÖPING</t>
        </is>
      </c>
      <c r="F2788" t="inlineStr">
        <is>
          <t>Holmen skog AB</t>
        </is>
      </c>
      <c r="G2788" t="n">
        <v>0.9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s="2" t="inlineStr"/>
    </row>
    <row r="2789" ht="15" customHeight="1">
      <c r="A2789" t="inlineStr">
        <is>
          <t>A 62845-2020</t>
        </is>
      </c>
      <c r="B2789" s="1" t="n">
        <v>44161</v>
      </c>
      <c r="C2789" s="1" t="n">
        <v>45211</v>
      </c>
      <c r="D2789" t="inlineStr">
        <is>
          <t>ÖSTERGÖTLANDS LÄN</t>
        </is>
      </c>
      <c r="E2789" t="inlineStr">
        <is>
          <t>FINSPÅNG</t>
        </is>
      </c>
      <c r="G2789" t="n">
        <v>0.4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s="2" t="inlineStr"/>
    </row>
    <row r="2790" ht="15" customHeight="1">
      <c r="A2790" t="inlineStr">
        <is>
          <t>A 62647-2020</t>
        </is>
      </c>
      <c r="B2790" s="1" t="n">
        <v>44161</v>
      </c>
      <c r="C2790" s="1" t="n">
        <v>45211</v>
      </c>
      <c r="D2790" t="inlineStr">
        <is>
          <t>ÖSTERGÖTLANDS LÄN</t>
        </is>
      </c>
      <c r="E2790" t="inlineStr">
        <is>
          <t>KINDA</t>
        </is>
      </c>
      <c r="G2790" t="n">
        <v>2.7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s="2" t="inlineStr"/>
    </row>
    <row r="2791" ht="15" customHeight="1">
      <c r="A2791" t="inlineStr">
        <is>
          <t>A 62847-2020</t>
        </is>
      </c>
      <c r="B2791" s="1" t="n">
        <v>44161</v>
      </c>
      <c r="C2791" s="1" t="n">
        <v>45211</v>
      </c>
      <c r="D2791" t="inlineStr">
        <is>
          <t>ÖSTERGÖTLANDS LÄN</t>
        </is>
      </c>
      <c r="E2791" t="inlineStr">
        <is>
          <t>FINSPÅNG</t>
        </is>
      </c>
      <c r="G2791" t="n">
        <v>0.5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s="2" t="inlineStr"/>
    </row>
    <row r="2792" ht="15" customHeight="1">
      <c r="A2792" t="inlineStr">
        <is>
          <t>A 62976-2020</t>
        </is>
      </c>
      <c r="B2792" s="1" t="n">
        <v>44162</v>
      </c>
      <c r="C2792" s="1" t="n">
        <v>45211</v>
      </c>
      <c r="D2792" t="inlineStr">
        <is>
          <t>ÖSTERGÖTLANDS LÄN</t>
        </is>
      </c>
      <c r="E2792" t="inlineStr">
        <is>
          <t>FINSPÅNG</t>
        </is>
      </c>
      <c r="F2792" t="inlineStr">
        <is>
          <t>Holmen skog AB</t>
        </is>
      </c>
      <c r="G2792" t="n">
        <v>0.5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s="2" t="inlineStr"/>
    </row>
    <row r="2793" ht="15" customHeight="1">
      <c r="A2793" t="inlineStr">
        <is>
          <t>A 62924-2020</t>
        </is>
      </c>
      <c r="B2793" s="1" t="n">
        <v>44162</v>
      </c>
      <c r="C2793" s="1" t="n">
        <v>45211</v>
      </c>
      <c r="D2793" t="inlineStr">
        <is>
          <t>ÖSTERGÖTLANDS LÄN</t>
        </is>
      </c>
      <c r="E2793" t="inlineStr">
        <is>
          <t>SÖDERKÖPING</t>
        </is>
      </c>
      <c r="G2793" t="n">
        <v>0.5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s="2" t="inlineStr"/>
    </row>
    <row r="2794" ht="15" customHeight="1">
      <c r="A2794" t="inlineStr">
        <is>
          <t>A 62916-2020</t>
        </is>
      </c>
      <c r="B2794" s="1" t="n">
        <v>44162</v>
      </c>
      <c r="C2794" s="1" t="n">
        <v>45211</v>
      </c>
      <c r="D2794" t="inlineStr">
        <is>
          <t>ÖSTERGÖTLANDS LÄN</t>
        </is>
      </c>
      <c r="E2794" t="inlineStr">
        <is>
          <t>SÖDERKÖPING</t>
        </is>
      </c>
      <c r="G2794" t="n">
        <v>1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s="2" t="inlineStr"/>
    </row>
    <row r="2795" ht="15" customHeight="1">
      <c r="A2795" t="inlineStr">
        <is>
          <t>A 62926-2020</t>
        </is>
      </c>
      <c r="B2795" s="1" t="n">
        <v>44162</v>
      </c>
      <c r="C2795" s="1" t="n">
        <v>45211</v>
      </c>
      <c r="D2795" t="inlineStr">
        <is>
          <t>ÖSTERGÖTLANDS LÄN</t>
        </is>
      </c>
      <c r="E2795" t="inlineStr">
        <is>
          <t>ÅTVIDABERG</t>
        </is>
      </c>
      <c r="F2795" t="inlineStr">
        <is>
          <t>Sveaskog</t>
        </is>
      </c>
      <c r="G2795" t="n">
        <v>1.3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s="2" t="inlineStr"/>
    </row>
    <row r="2796" ht="15" customHeight="1">
      <c r="A2796" t="inlineStr">
        <is>
          <t>A 62925-2020</t>
        </is>
      </c>
      <c r="B2796" s="1" t="n">
        <v>44162</v>
      </c>
      <c r="C2796" s="1" t="n">
        <v>45211</v>
      </c>
      <c r="D2796" t="inlineStr">
        <is>
          <t>ÖSTERGÖTLANDS LÄN</t>
        </is>
      </c>
      <c r="E2796" t="inlineStr">
        <is>
          <t>ÅTVIDABERG</t>
        </is>
      </c>
      <c r="F2796" t="inlineStr">
        <is>
          <t>Sveaskog</t>
        </is>
      </c>
      <c r="G2796" t="n">
        <v>1.3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s="2" t="inlineStr"/>
    </row>
    <row r="2797" ht="15" customHeight="1">
      <c r="A2797" t="inlineStr">
        <is>
          <t>A 63102-2020</t>
        </is>
      </c>
      <c r="B2797" s="1" t="n">
        <v>44162</v>
      </c>
      <c r="C2797" s="1" t="n">
        <v>45211</v>
      </c>
      <c r="D2797" t="inlineStr">
        <is>
          <t>ÖSTERGÖTLANDS LÄN</t>
        </is>
      </c>
      <c r="E2797" t="inlineStr">
        <is>
          <t>NORRKÖPING</t>
        </is>
      </c>
      <c r="F2797" t="inlineStr">
        <is>
          <t>Holmen skog AB</t>
        </is>
      </c>
      <c r="G2797" t="n">
        <v>0.8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s="2" t="inlineStr"/>
    </row>
    <row r="2798" ht="15" customHeight="1">
      <c r="A2798" t="inlineStr">
        <is>
          <t>A 63208-2020</t>
        </is>
      </c>
      <c r="B2798" s="1" t="n">
        <v>44163</v>
      </c>
      <c r="C2798" s="1" t="n">
        <v>45211</v>
      </c>
      <c r="D2798" t="inlineStr">
        <is>
          <t>ÖSTERGÖTLANDS LÄN</t>
        </is>
      </c>
      <c r="E2798" t="inlineStr">
        <is>
          <t>NORRKÖPING</t>
        </is>
      </c>
      <c r="G2798" t="n">
        <v>1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s="2" t="inlineStr"/>
    </row>
    <row r="2799" ht="15" customHeight="1">
      <c r="A2799" t="inlineStr">
        <is>
          <t>A 63263-2020</t>
        </is>
      </c>
      <c r="B2799" s="1" t="n">
        <v>44164</v>
      </c>
      <c r="C2799" s="1" t="n">
        <v>45211</v>
      </c>
      <c r="D2799" t="inlineStr">
        <is>
          <t>ÖSTERGÖTLANDS LÄN</t>
        </is>
      </c>
      <c r="E2799" t="inlineStr">
        <is>
          <t>KINDA</t>
        </is>
      </c>
      <c r="G2799" t="n">
        <v>0.7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s="2" t="inlineStr"/>
    </row>
    <row r="2800" ht="15" customHeight="1">
      <c r="A2800" t="inlineStr">
        <is>
          <t>A 63269-2020</t>
        </is>
      </c>
      <c r="B2800" s="1" t="n">
        <v>44164</v>
      </c>
      <c r="C2800" s="1" t="n">
        <v>45211</v>
      </c>
      <c r="D2800" t="inlineStr">
        <is>
          <t>ÖSTERGÖTLANDS LÄN</t>
        </is>
      </c>
      <c r="E2800" t="inlineStr">
        <is>
          <t>MJÖLBY</t>
        </is>
      </c>
      <c r="G2800" t="n">
        <v>0.7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s="2" t="inlineStr"/>
    </row>
    <row r="2801" ht="15" customHeight="1">
      <c r="A2801" t="inlineStr">
        <is>
          <t>A 63344-2020</t>
        </is>
      </c>
      <c r="B2801" s="1" t="n">
        <v>44165</v>
      </c>
      <c r="C2801" s="1" t="n">
        <v>45211</v>
      </c>
      <c r="D2801" t="inlineStr">
        <is>
          <t>ÖSTERGÖTLANDS LÄN</t>
        </is>
      </c>
      <c r="E2801" t="inlineStr">
        <is>
          <t>FINSPÅNG</t>
        </is>
      </c>
      <c r="F2801" t="inlineStr">
        <is>
          <t>Holmen skog AB</t>
        </is>
      </c>
      <c r="G2801" t="n">
        <v>0.5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s="2" t="inlineStr"/>
    </row>
    <row r="2802" ht="15" customHeight="1">
      <c r="A2802" t="inlineStr">
        <is>
          <t>A 63371-2020</t>
        </is>
      </c>
      <c r="B2802" s="1" t="n">
        <v>44165</v>
      </c>
      <c r="C2802" s="1" t="n">
        <v>45211</v>
      </c>
      <c r="D2802" t="inlineStr">
        <is>
          <t>ÖSTERGÖTLANDS LÄN</t>
        </is>
      </c>
      <c r="E2802" t="inlineStr">
        <is>
          <t>NORRKÖPING</t>
        </is>
      </c>
      <c r="F2802" t="inlineStr">
        <is>
          <t>Holmen skog AB</t>
        </is>
      </c>
      <c r="G2802" t="n">
        <v>1.5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s="2" t="inlineStr"/>
    </row>
    <row r="2803" ht="15" customHeight="1">
      <c r="A2803" t="inlineStr">
        <is>
          <t>A 63430-2020</t>
        </is>
      </c>
      <c r="B2803" s="1" t="n">
        <v>44165</v>
      </c>
      <c r="C2803" s="1" t="n">
        <v>45211</v>
      </c>
      <c r="D2803" t="inlineStr">
        <is>
          <t>ÖSTERGÖTLANDS LÄN</t>
        </is>
      </c>
      <c r="E2803" t="inlineStr">
        <is>
          <t>LINKÖPING</t>
        </is>
      </c>
      <c r="F2803" t="inlineStr">
        <is>
          <t>Övriga Aktiebolag</t>
        </is>
      </c>
      <c r="G2803" t="n">
        <v>2.5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s="2" t="inlineStr"/>
    </row>
    <row r="2804" ht="15" customHeight="1">
      <c r="A2804" t="inlineStr">
        <is>
          <t>A 63480-2020</t>
        </is>
      </c>
      <c r="B2804" s="1" t="n">
        <v>44165</v>
      </c>
      <c r="C2804" s="1" t="n">
        <v>45211</v>
      </c>
      <c r="D2804" t="inlineStr">
        <is>
          <t>ÖSTERGÖTLANDS LÄN</t>
        </is>
      </c>
      <c r="E2804" t="inlineStr">
        <is>
          <t>FINSPÅNG</t>
        </is>
      </c>
      <c r="G2804" t="n">
        <v>2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s="2" t="inlineStr"/>
    </row>
    <row r="2805" ht="15" customHeight="1">
      <c r="A2805" t="inlineStr">
        <is>
          <t>A 63848-2020</t>
        </is>
      </c>
      <c r="B2805" s="1" t="n">
        <v>44165</v>
      </c>
      <c r="C2805" s="1" t="n">
        <v>45211</v>
      </c>
      <c r="D2805" t="inlineStr">
        <is>
          <t>ÖSTERGÖTLANDS LÄN</t>
        </is>
      </c>
      <c r="E2805" t="inlineStr">
        <is>
          <t>KINDA</t>
        </is>
      </c>
      <c r="G2805" t="n">
        <v>1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s="2" t="inlineStr"/>
    </row>
    <row r="2806" ht="15" customHeight="1">
      <c r="A2806" t="inlineStr">
        <is>
          <t>A 63333-2020</t>
        </is>
      </c>
      <c r="B2806" s="1" t="n">
        <v>44165</v>
      </c>
      <c r="C2806" s="1" t="n">
        <v>45211</v>
      </c>
      <c r="D2806" t="inlineStr">
        <is>
          <t>ÖSTERGÖTLANDS LÄN</t>
        </is>
      </c>
      <c r="E2806" t="inlineStr">
        <is>
          <t>ÖDESHÖG</t>
        </is>
      </c>
      <c r="F2806" t="inlineStr">
        <is>
          <t>Allmännings- och besparingsskogar</t>
        </is>
      </c>
      <c r="G2806" t="n">
        <v>4.5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s="2" t="inlineStr"/>
    </row>
    <row r="2807" ht="15" customHeight="1">
      <c r="A2807" t="inlineStr">
        <is>
          <t>A 63407-2020</t>
        </is>
      </c>
      <c r="B2807" s="1" t="n">
        <v>44165</v>
      </c>
      <c r="C2807" s="1" t="n">
        <v>45211</v>
      </c>
      <c r="D2807" t="inlineStr">
        <is>
          <t>ÖSTERGÖTLANDS LÄN</t>
        </is>
      </c>
      <c r="E2807" t="inlineStr">
        <is>
          <t>FINSPÅNG</t>
        </is>
      </c>
      <c r="F2807" t="inlineStr">
        <is>
          <t>Holmen skog AB</t>
        </is>
      </c>
      <c r="G2807" t="n">
        <v>1.8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s="2" t="inlineStr"/>
    </row>
    <row r="2808" ht="15" customHeight="1">
      <c r="A2808" t="inlineStr">
        <is>
          <t>A 63863-2020</t>
        </is>
      </c>
      <c r="B2808" s="1" t="n">
        <v>44166</v>
      </c>
      <c r="C2808" s="1" t="n">
        <v>45211</v>
      </c>
      <c r="D2808" t="inlineStr">
        <is>
          <t>ÖSTERGÖTLANDS LÄN</t>
        </is>
      </c>
      <c r="E2808" t="inlineStr">
        <is>
          <t>ÅTVIDABERG</t>
        </is>
      </c>
      <c r="G2808" t="n">
        <v>5.2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s="2" t="inlineStr"/>
    </row>
    <row r="2809" ht="15" customHeight="1">
      <c r="A2809" t="inlineStr">
        <is>
          <t>A 64573-2020</t>
        </is>
      </c>
      <c r="B2809" s="1" t="n">
        <v>44166</v>
      </c>
      <c r="C2809" s="1" t="n">
        <v>45211</v>
      </c>
      <c r="D2809" t="inlineStr">
        <is>
          <t>ÖSTERGÖTLANDS LÄN</t>
        </is>
      </c>
      <c r="E2809" t="inlineStr">
        <is>
          <t>NORRKÖPING</t>
        </is>
      </c>
      <c r="G2809" t="n">
        <v>1.2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s="2" t="inlineStr"/>
    </row>
    <row r="2810" ht="15" customHeight="1">
      <c r="A2810" t="inlineStr">
        <is>
          <t>A 64001-2020</t>
        </is>
      </c>
      <c r="B2810" s="1" t="n">
        <v>44167</v>
      </c>
      <c r="C2810" s="1" t="n">
        <v>45211</v>
      </c>
      <c r="D2810" t="inlineStr">
        <is>
          <t>ÖSTERGÖTLANDS LÄN</t>
        </is>
      </c>
      <c r="E2810" t="inlineStr">
        <is>
          <t>MOTALA</t>
        </is>
      </c>
      <c r="G2810" t="n">
        <v>6.6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s="2" t="inlineStr"/>
    </row>
    <row r="2811" ht="15" customHeight="1">
      <c r="A2811" t="inlineStr">
        <is>
          <t>A 64121-2020</t>
        </is>
      </c>
      <c r="B2811" s="1" t="n">
        <v>44167</v>
      </c>
      <c r="C2811" s="1" t="n">
        <v>45211</v>
      </c>
      <c r="D2811" t="inlineStr">
        <is>
          <t>ÖSTERGÖTLANDS LÄN</t>
        </is>
      </c>
      <c r="E2811" t="inlineStr">
        <is>
          <t>MOTALA</t>
        </is>
      </c>
      <c r="G2811" t="n">
        <v>12.1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s="2" t="inlineStr"/>
    </row>
    <row r="2812" ht="15" customHeight="1">
      <c r="A2812" t="inlineStr">
        <is>
          <t>A 65047-2020</t>
        </is>
      </c>
      <c r="B2812" s="1" t="n">
        <v>44167</v>
      </c>
      <c r="C2812" s="1" t="n">
        <v>45211</v>
      </c>
      <c r="D2812" t="inlineStr">
        <is>
          <t>ÖSTERGÖTLANDS LÄN</t>
        </is>
      </c>
      <c r="E2812" t="inlineStr">
        <is>
          <t>KINDA</t>
        </is>
      </c>
      <c r="G2812" t="n">
        <v>0.5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s="2" t="inlineStr"/>
    </row>
    <row r="2813" ht="15" customHeight="1">
      <c r="A2813" t="inlineStr">
        <is>
          <t>A 64708-2020</t>
        </is>
      </c>
      <c r="B2813" s="1" t="n">
        <v>44167</v>
      </c>
      <c r="C2813" s="1" t="n">
        <v>45211</v>
      </c>
      <c r="D2813" t="inlineStr">
        <is>
          <t>ÖSTERGÖTLANDS LÄN</t>
        </is>
      </c>
      <c r="E2813" t="inlineStr">
        <is>
          <t>MJÖLBY</t>
        </is>
      </c>
      <c r="G2813" t="n">
        <v>0.6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s="2" t="inlineStr"/>
    </row>
    <row r="2814" ht="15" customHeight="1">
      <c r="A2814" t="inlineStr">
        <is>
          <t>A 64112-2020</t>
        </is>
      </c>
      <c r="B2814" s="1" t="n">
        <v>44167</v>
      </c>
      <c r="C2814" s="1" t="n">
        <v>45211</v>
      </c>
      <c r="D2814" t="inlineStr">
        <is>
          <t>ÖSTERGÖTLANDS LÄN</t>
        </is>
      </c>
      <c r="E2814" t="inlineStr">
        <is>
          <t>FINSPÅNG</t>
        </is>
      </c>
      <c r="F2814" t="inlineStr">
        <is>
          <t>Holmen skog AB</t>
        </is>
      </c>
      <c r="G2814" t="n">
        <v>1.7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s="2" t="inlineStr"/>
    </row>
    <row r="2815" ht="15" customHeight="1">
      <c r="A2815" t="inlineStr">
        <is>
          <t>A 65380-2020</t>
        </is>
      </c>
      <c r="B2815" s="1" t="n">
        <v>44168</v>
      </c>
      <c r="C2815" s="1" t="n">
        <v>45211</v>
      </c>
      <c r="D2815" t="inlineStr">
        <is>
          <t>ÖSTERGÖTLANDS LÄN</t>
        </is>
      </c>
      <c r="E2815" t="inlineStr">
        <is>
          <t>YDRE</t>
        </is>
      </c>
      <c r="G2815" t="n">
        <v>0.6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s="2" t="inlineStr"/>
    </row>
    <row r="2816" ht="15" customHeight="1">
      <c r="A2816" t="inlineStr">
        <is>
          <t>A 64227-2020</t>
        </is>
      </c>
      <c r="B2816" s="1" t="n">
        <v>44168</v>
      </c>
      <c r="C2816" s="1" t="n">
        <v>45211</v>
      </c>
      <c r="D2816" t="inlineStr">
        <is>
          <t>ÖSTERGÖTLANDS LÄN</t>
        </is>
      </c>
      <c r="E2816" t="inlineStr">
        <is>
          <t>MJÖLBY</t>
        </is>
      </c>
      <c r="F2816" t="inlineStr">
        <is>
          <t>Sveaskog</t>
        </is>
      </c>
      <c r="G2816" t="n">
        <v>1.2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s="2" t="inlineStr"/>
    </row>
    <row r="2817" ht="15" customHeight="1">
      <c r="A2817" t="inlineStr">
        <is>
          <t>A 64366-2020</t>
        </is>
      </c>
      <c r="B2817" s="1" t="n">
        <v>44168</v>
      </c>
      <c r="C2817" s="1" t="n">
        <v>45211</v>
      </c>
      <c r="D2817" t="inlineStr">
        <is>
          <t>ÖSTERGÖTLANDS LÄN</t>
        </is>
      </c>
      <c r="E2817" t="inlineStr">
        <is>
          <t>NORRKÖPING</t>
        </is>
      </c>
      <c r="G2817" t="n">
        <v>3.6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s="2" t="inlineStr"/>
    </row>
    <row r="2818" ht="15" customHeight="1">
      <c r="A2818" t="inlineStr">
        <is>
          <t>A 64431-2020</t>
        </is>
      </c>
      <c r="B2818" s="1" t="n">
        <v>44168</v>
      </c>
      <c r="C2818" s="1" t="n">
        <v>45211</v>
      </c>
      <c r="D2818" t="inlineStr">
        <is>
          <t>ÖSTERGÖTLANDS LÄN</t>
        </is>
      </c>
      <c r="E2818" t="inlineStr">
        <is>
          <t>YDRE</t>
        </is>
      </c>
      <c r="G2818" t="n">
        <v>0.8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s="2" t="inlineStr"/>
    </row>
    <row r="2819" ht="15" customHeight="1">
      <c r="A2819" t="inlineStr">
        <is>
          <t>A 64438-2020</t>
        </is>
      </c>
      <c r="B2819" s="1" t="n">
        <v>44168</v>
      </c>
      <c r="C2819" s="1" t="n">
        <v>45211</v>
      </c>
      <c r="D2819" t="inlineStr">
        <is>
          <t>ÖSTERGÖTLANDS LÄN</t>
        </is>
      </c>
      <c r="E2819" t="inlineStr">
        <is>
          <t>YDRE</t>
        </is>
      </c>
      <c r="G2819" t="n">
        <v>32.3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s="2" t="inlineStr"/>
    </row>
    <row r="2820" ht="15" customHeight="1">
      <c r="A2820" t="inlineStr">
        <is>
          <t>A 64231-2020</t>
        </is>
      </c>
      <c r="B2820" s="1" t="n">
        <v>44168</v>
      </c>
      <c r="C2820" s="1" t="n">
        <v>45211</v>
      </c>
      <c r="D2820" t="inlineStr">
        <is>
          <t>ÖSTERGÖTLANDS LÄN</t>
        </is>
      </c>
      <c r="E2820" t="inlineStr">
        <is>
          <t>BOXHOLM</t>
        </is>
      </c>
      <c r="G2820" t="n">
        <v>1.7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s="2" t="inlineStr"/>
    </row>
    <row r="2821" ht="15" customHeight="1">
      <c r="A2821" t="inlineStr">
        <is>
          <t>A 64295-2020</t>
        </is>
      </c>
      <c r="B2821" s="1" t="n">
        <v>44168</v>
      </c>
      <c r="C2821" s="1" t="n">
        <v>45211</v>
      </c>
      <c r="D2821" t="inlineStr">
        <is>
          <t>ÖSTERGÖTLANDS LÄN</t>
        </is>
      </c>
      <c r="E2821" t="inlineStr">
        <is>
          <t>KINDA</t>
        </is>
      </c>
      <c r="G2821" t="n">
        <v>2.9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s="2" t="inlineStr"/>
    </row>
    <row r="2822" ht="15" customHeight="1">
      <c r="A2822" t="inlineStr">
        <is>
          <t>A 64428-2020</t>
        </is>
      </c>
      <c r="B2822" s="1" t="n">
        <v>44168</v>
      </c>
      <c r="C2822" s="1" t="n">
        <v>45211</v>
      </c>
      <c r="D2822" t="inlineStr">
        <is>
          <t>ÖSTERGÖTLANDS LÄN</t>
        </is>
      </c>
      <c r="E2822" t="inlineStr">
        <is>
          <t>YDRE</t>
        </is>
      </c>
      <c r="G2822" t="n">
        <v>2.7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s="2" t="inlineStr"/>
    </row>
    <row r="2823" ht="15" customHeight="1">
      <c r="A2823" t="inlineStr">
        <is>
          <t>A 64436-2020</t>
        </is>
      </c>
      <c r="B2823" s="1" t="n">
        <v>44168</v>
      </c>
      <c r="C2823" s="1" t="n">
        <v>45211</v>
      </c>
      <c r="D2823" t="inlineStr">
        <is>
          <t>ÖSTERGÖTLANDS LÄN</t>
        </is>
      </c>
      <c r="E2823" t="inlineStr">
        <is>
          <t>KINDA</t>
        </is>
      </c>
      <c r="G2823" t="n">
        <v>1.1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s="2" t="inlineStr"/>
    </row>
    <row r="2824" ht="15" customHeight="1">
      <c r="A2824" t="inlineStr">
        <is>
          <t>A 64788-2020</t>
        </is>
      </c>
      <c r="B2824" s="1" t="n">
        <v>44169</v>
      </c>
      <c r="C2824" s="1" t="n">
        <v>45211</v>
      </c>
      <c r="D2824" t="inlineStr">
        <is>
          <t>ÖSTERGÖTLANDS LÄN</t>
        </is>
      </c>
      <c r="E2824" t="inlineStr">
        <is>
          <t>NORRKÖPING</t>
        </is>
      </c>
      <c r="G2824" t="n">
        <v>1.6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s="2" t="inlineStr"/>
    </row>
    <row r="2825" ht="15" customHeight="1">
      <c r="A2825" t="inlineStr">
        <is>
          <t>A 64561-2020</t>
        </is>
      </c>
      <c r="B2825" s="1" t="n">
        <v>44169</v>
      </c>
      <c r="C2825" s="1" t="n">
        <v>45211</v>
      </c>
      <c r="D2825" t="inlineStr">
        <is>
          <t>ÖSTERGÖTLANDS LÄN</t>
        </is>
      </c>
      <c r="E2825" t="inlineStr">
        <is>
          <t>NORRKÖPING</t>
        </is>
      </c>
      <c r="F2825" t="inlineStr">
        <is>
          <t>Holmen skog AB</t>
        </is>
      </c>
      <c r="G2825" t="n">
        <v>0.5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s="2" t="inlineStr"/>
    </row>
    <row r="2826" ht="15" customHeight="1">
      <c r="A2826" t="inlineStr">
        <is>
          <t>A 64576-2020</t>
        </is>
      </c>
      <c r="B2826" s="1" t="n">
        <v>44169</v>
      </c>
      <c r="C2826" s="1" t="n">
        <v>45211</v>
      </c>
      <c r="D2826" t="inlineStr">
        <is>
          <t>ÖSTERGÖTLANDS LÄN</t>
        </is>
      </c>
      <c r="E2826" t="inlineStr">
        <is>
          <t>NORRKÖPING</t>
        </is>
      </c>
      <c r="F2826" t="inlineStr">
        <is>
          <t>Holmen skog AB</t>
        </is>
      </c>
      <c r="G2826" t="n">
        <v>0.5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s="2" t="inlineStr"/>
    </row>
    <row r="2827" ht="15" customHeight="1">
      <c r="A2827" t="inlineStr">
        <is>
          <t>A 64617-2020</t>
        </is>
      </c>
      <c r="B2827" s="1" t="n">
        <v>44169</v>
      </c>
      <c r="C2827" s="1" t="n">
        <v>45211</v>
      </c>
      <c r="D2827" t="inlineStr">
        <is>
          <t>ÖSTERGÖTLANDS LÄN</t>
        </is>
      </c>
      <c r="E2827" t="inlineStr">
        <is>
          <t>FINSPÅNG</t>
        </is>
      </c>
      <c r="F2827" t="inlineStr">
        <is>
          <t>Holmen skog AB</t>
        </is>
      </c>
      <c r="G2827" t="n">
        <v>0.5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s="2" t="inlineStr"/>
    </row>
    <row r="2828" ht="15" customHeight="1">
      <c r="A2828" t="inlineStr">
        <is>
          <t>A 64549-2020</t>
        </is>
      </c>
      <c r="B2828" s="1" t="n">
        <v>44169</v>
      </c>
      <c r="C2828" s="1" t="n">
        <v>45211</v>
      </c>
      <c r="D2828" t="inlineStr">
        <is>
          <t>ÖSTERGÖTLANDS LÄN</t>
        </is>
      </c>
      <c r="E2828" t="inlineStr">
        <is>
          <t>NORRKÖPING</t>
        </is>
      </c>
      <c r="F2828" t="inlineStr">
        <is>
          <t>Holmen skog AB</t>
        </is>
      </c>
      <c r="G2828" t="n">
        <v>0.6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s="2" t="inlineStr"/>
    </row>
    <row r="2829" ht="15" customHeight="1">
      <c r="A2829" t="inlineStr">
        <is>
          <t>A 64893-2020</t>
        </is>
      </c>
      <c r="B2829" s="1" t="n">
        <v>44171</v>
      </c>
      <c r="C2829" s="1" t="n">
        <v>45211</v>
      </c>
      <c r="D2829" t="inlineStr">
        <is>
          <t>ÖSTERGÖTLANDS LÄN</t>
        </is>
      </c>
      <c r="E2829" t="inlineStr">
        <is>
          <t>KINDA</t>
        </is>
      </c>
      <c r="G2829" t="n">
        <v>0.6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s="2" t="inlineStr"/>
    </row>
    <row r="2830" ht="15" customHeight="1">
      <c r="A2830" t="inlineStr">
        <is>
          <t>A 64894-2020</t>
        </is>
      </c>
      <c r="B2830" s="1" t="n">
        <v>44171</v>
      </c>
      <c r="C2830" s="1" t="n">
        <v>45211</v>
      </c>
      <c r="D2830" t="inlineStr">
        <is>
          <t>ÖSTERGÖTLANDS LÄN</t>
        </is>
      </c>
      <c r="E2830" t="inlineStr">
        <is>
          <t>KINDA</t>
        </is>
      </c>
      <c r="G2830" t="n">
        <v>0.5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s="2" t="inlineStr"/>
    </row>
    <row r="2831" ht="15" customHeight="1">
      <c r="A2831" t="inlineStr">
        <is>
          <t>A 65720-2020</t>
        </is>
      </c>
      <c r="B2831" s="1" t="n">
        <v>44172</v>
      </c>
      <c r="C2831" s="1" t="n">
        <v>45211</v>
      </c>
      <c r="D2831" t="inlineStr">
        <is>
          <t>ÖSTERGÖTLANDS LÄN</t>
        </is>
      </c>
      <c r="E2831" t="inlineStr">
        <is>
          <t>VALDEMARSVIK</t>
        </is>
      </c>
      <c r="G2831" t="n">
        <v>1.5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s="2" t="inlineStr"/>
    </row>
    <row r="2832" ht="15" customHeight="1">
      <c r="A2832" t="inlineStr">
        <is>
          <t>A 65726-2020</t>
        </is>
      </c>
      <c r="B2832" s="1" t="n">
        <v>44172</v>
      </c>
      <c r="C2832" s="1" t="n">
        <v>45211</v>
      </c>
      <c r="D2832" t="inlineStr">
        <is>
          <t>ÖSTERGÖTLANDS LÄN</t>
        </is>
      </c>
      <c r="E2832" t="inlineStr">
        <is>
          <t>VALDEMARSVIK</t>
        </is>
      </c>
      <c r="G2832" t="n">
        <v>0.5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s="2" t="inlineStr"/>
    </row>
    <row r="2833" ht="15" customHeight="1">
      <c r="A2833" t="inlineStr">
        <is>
          <t>A 65237-2020</t>
        </is>
      </c>
      <c r="B2833" s="1" t="n">
        <v>44172</v>
      </c>
      <c r="C2833" s="1" t="n">
        <v>45211</v>
      </c>
      <c r="D2833" t="inlineStr">
        <is>
          <t>ÖSTERGÖTLANDS LÄN</t>
        </is>
      </c>
      <c r="E2833" t="inlineStr">
        <is>
          <t>FINSPÅNG</t>
        </is>
      </c>
      <c r="G2833" t="n">
        <v>2.3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s="2" t="inlineStr"/>
    </row>
    <row r="2834" ht="15" customHeight="1">
      <c r="A2834" t="inlineStr">
        <is>
          <t>A 65710-2020</t>
        </is>
      </c>
      <c r="B2834" s="1" t="n">
        <v>44172</v>
      </c>
      <c r="C2834" s="1" t="n">
        <v>45211</v>
      </c>
      <c r="D2834" t="inlineStr">
        <is>
          <t>ÖSTERGÖTLANDS LÄN</t>
        </is>
      </c>
      <c r="E2834" t="inlineStr">
        <is>
          <t>VALDEMARSVIK</t>
        </is>
      </c>
      <c r="G2834" t="n">
        <v>1.7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s="2" t="inlineStr"/>
    </row>
    <row r="2835" ht="15" customHeight="1">
      <c r="A2835" t="inlineStr">
        <is>
          <t>A 65234-2020</t>
        </is>
      </c>
      <c r="B2835" s="1" t="n">
        <v>44172</v>
      </c>
      <c r="C2835" s="1" t="n">
        <v>45211</v>
      </c>
      <c r="D2835" t="inlineStr">
        <is>
          <t>ÖSTERGÖTLANDS LÄN</t>
        </is>
      </c>
      <c r="E2835" t="inlineStr">
        <is>
          <t>FINSPÅNG</t>
        </is>
      </c>
      <c r="G2835" t="n">
        <v>1.5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s="2" t="inlineStr"/>
    </row>
    <row r="2836" ht="15" customHeight="1">
      <c r="A2836" t="inlineStr">
        <is>
          <t>A 65372-2020</t>
        </is>
      </c>
      <c r="B2836" s="1" t="n">
        <v>44173</v>
      </c>
      <c r="C2836" s="1" t="n">
        <v>45211</v>
      </c>
      <c r="D2836" t="inlineStr">
        <is>
          <t>ÖSTERGÖTLANDS LÄN</t>
        </is>
      </c>
      <c r="E2836" t="inlineStr">
        <is>
          <t>MJÖLBY</t>
        </is>
      </c>
      <c r="G2836" t="n">
        <v>2.4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s="2" t="inlineStr"/>
    </row>
    <row r="2837" ht="15" customHeight="1">
      <c r="A2837" t="inlineStr">
        <is>
          <t>A 65584-2020</t>
        </is>
      </c>
      <c r="B2837" s="1" t="n">
        <v>44173</v>
      </c>
      <c r="C2837" s="1" t="n">
        <v>45211</v>
      </c>
      <c r="D2837" t="inlineStr">
        <is>
          <t>ÖSTERGÖTLANDS LÄN</t>
        </is>
      </c>
      <c r="E2837" t="inlineStr">
        <is>
          <t>MOTALA</t>
        </is>
      </c>
      <c r="G2837" t="n">
        <v>6.7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s="2" t="inlineStr"/>
    </row>
    <row r="2838" ht="15" customHeight="1">
      <c r="A2838" t="inlineStr">
        <is>
          <t>A 66180-2020</t>
        </is>
      </c>
      <c r="B2838" s="1" t="n">
        <v>44174</v>
      </c>
      <c r="C2838" s="1" t="n">
        <v>45211</v>
      </c>
      <c r="D2838" t="inlineStr">
        <is>
          <t>ÖSTERGÖTLANDS LÄN</t>
        </is>
      </c>
      <c r="E2838" t="inlineStr">
        <is>
          <t>VALDEMARSVIK</t>
        </is>
      </c>
      <c r="G2838" t="n">
        <v>1.3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s="2" t="inlineStr"/>
    </row>
    <row r="2839" ht="15" customHeight="1">
      <c r="A2839" t="inlineStr">
        <is>
          <t>A 66182-2020</t>
        </is>
      </c>
      <c r="B2839" s="1" t="n">
        <v>44174</v>
      </c>
      <c r="C2839" s="1" t="n">
        <v>45211</v>
      </c>
      <c r="D2839" t="inlineStr">
        <is>
          <t>ÖSTERGÖTLANDS LÄN</t>
        </is>
      </c>
      <c r="E2839" t="inlineStr">
        <is>
          <t>VALDEMARSVIK</t>
        </is>
      </c>
      <c r="G2839" t="n">
        <v>2.8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s="2" t="inlineStr"/>
    </row>
    <row r="2840" ht="15" customHeight="1">
      <c r="A2840" t="inlineStr">
        <is>
          <t>A 65722-2020</t>
        </is>
      </c>
      <c r="B2840" s="1" t="n">
        <v>44174</v>
      </c>
      <c r="C2840" s="1" t="n">
        <v>45211</v>
      </c>
      <c r="D2840" t="inlineStr">
        <is>
          <t>ÖSTERGÖTLANDS LÄN</t>
        </is>
      </c>
      <c r="E2840" t="inlineStr">
        <is>
          <t>VALDEMARSVIK</t>
        </is>
      </c>
      <c r="G2840" t="n">
        <v>1.7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s="2" t="inlineStr"/>
    </row>
    <row r="2841" ht="15" customHeight="1">
      <c r="A2841" t="inlineStr">
        <is>
          <t>A 65727-2020</t>
        </is>
      </c>
      <c r="B2841" s="1" t="n">
        <v>44174</v>
      </c>
      <c r="C2841" s="1" t="n">
        <v>45211</v>
      </c>
      <c r="D2841" t="inlineStr">
        <is>
          <t>ÖSTERGÖTLANDS LÄN</t>
        </is>
      </c>
      <c r="E2841" t="inlineStr">
        <is>
          <t>VALDEMARSVIK</t>
        </is>
      </c>
      <c r="G2841" t="n">
        <v>7.5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s="2" t="inlineStr"/>
    </row>
    <row r="2842" ht="15" customHeight="1">
      <c r="A2842" t="inlineStr">
        <is>
          <t>A 65741-2020</t>
        </is>
      </c>
      <c r="B2842" s="1" t="n">
        <v>44174</v>
      </c>
      <c r="C2842" s="1" t="n">
        <v>45211</v>
      </c>
      <c r="D2842" t="inlineStr">
        <is>
          <t>ÖSTERGÖTLANDS LÄN</t>
        </is>
      </c>
      <c r="E2842" t="inlineStr">
        <is>
          <t>VALDEMARSVIK</t>
        </is>
      </c>
      <c r="G2842" t="n">
        <v>1.7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s="2" t="inlineStr"/>
    </row>
    <row r="2843" ht="15" customHeight="1">
      <c r="A2843" t="inlineStr">
        <is>
          <t>A 66870-2020</t>
        </is>
      </c>
      <c r="B2843" s="1" t="n">
        <v>44176</v>
      </c>
      <c r="C2843" s="1" t="n">
        <v>45211</v>
      </c>
      <c r="D2843" t="inlineStr">
        <is>
          <t>ÖSTERGÖTLANDS LÄN</t>
        </is>
      </c>
      <c r="E2843" t="inlineStr">
        <is>
          <t>ÅTVIDABERG</t>
        </is>
      </c>
      <c r="G2843" t="n">
        <v>1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s="2" t="inlineStr"/>
    </row>
    <row r="2844" ht="15" customHeight="1">
      <c r="A2844" t="inlineStr">
        <is>
          <t>A 66382-2020</t>
        </is>
      </c>
      <c r="B2844" s="1" t="n">
        <v>44176</v>
      </c>
      <c r="C2844" s="1" t="n">
        <v>45211</v>
      </c>
      <c r="D2844" t="inlineStr">
        <is>
          <t>ÖSTERGÖTLANDS LÄN</t>
        </is>
      </c>
      <c r="E2844" t="inlineStr">
        <is>
          <t>FINSPÅNG</t>
        </is>
      </c>
      <c r="F2844" t="inlineStr">
        <is>
          <t>Holmen skog AB</t>
        </is>
      </c>
      <c r="G2844" t="n">
        <v>1.5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s="2" t="inlineStr"/>
    </row>
    <row r="2845" ht="15" customHeight="1">
      <c r="A2845" t="inlineStr">
        <is>
          <t>A 66403-2020</t>
        </is>
      </c>
      <c r="B2845" s="1" t="n">
        <v>44176</v>
      </c>
      <c r="C2845" s="1" t="n">
        <v>45211</v>
      </c>
      <c r="D2845" t="inlineStr">
        <is>
          <t>ÖSTERGÖTLANDS LÄN</t>
        </is>
      </c>
      <c r="E2845" t="inlineStr">
        <is>
          <t>NORRKÖPING</t>
        </is>
      </c>
      <c r="F2845" t="inlineStr">
        <is>
          <t>Holmen skog AB</t>
        </is>
      </c>
      <c r="G2845" t="n">
        <v>0.5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s="2" t="inlineStr"/>
    </row>
    <row r="2846" ht="15" customHeight="1">
      <c r="A2846" t="inlineStr">
        <is>
          <t>A 66867-2020</t>
        </is>
      </c>
      <c r="B2846" s="1" t="n">
        <v>44176</v>
      </c>
      <c r="C2846" s="1" t="n">
        <v>45211</v>
      </c>
      <c r="D2846" t="inlineStr">
        <is>
          <t>ÖSTERGÖTLANDS LÄN</t>
        </is>
      </c>
      <c r="E2846" t="inlineStr">
        <is>
          <t>ÅTVIDABERG</t>
        </is>
      </c>
      <c r="G2846" t="n">
        <v>0.5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s="2" t="inlineStr"/>
    </row>
    <row r="2847" ht="15" customHeight="1">
      <c r="A2847" t="inlineStr">
        <is>
          <t>A 67023-2020</t>
        </is>
      </c>
      <c r="B2847" s="1" t="n">
        <v>44176</v>
      </c>
      <c r="C2847" s="1" t="n">
        <v>45211</v>
      </c>
      <c r="D2847" t="inlineStr">
        <is>
          <t>ÖSTERGÖTLANDS LÄN</t>
        </is>
      </c>
      <c r="E2847" t="inlineStr">
        <is>
          <t>MOTALA</t>
        </is>
      </c>
      <c r="G2847" t="n">
        <v>4.9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s="2" t="inlineStr"/>
    </row>
    <row r="2848" ht="15" customHeight="1">
      <c r="A2848" t="inlineStr">
        <is>
          <t>A 66351-2020</t>
        </is>
      </c>
      <c r="B2848" s="1" t="n">
        <v>44176</v>
      </c>
      <c r="C2848" s="1" t="n">
        <v>45211</v>
      </c>
      <c r="D2848" t="inlineStr">
        <is>
          <t>ÖSTERGÖTLANDS LÄN</t>
        </is>
      </c>
      <c r="E2848" t="inlineStr">
        <is>
          <t>FINSPÅNG</t>
        </is>
      </c>
      <c r="F2848" t="inlineStr">
        <is>
          <t>Holmen skog AB</t>
        </is>
      </c>
      <c r="G2848" t="n">
        <v>0.4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s="2" t="inlineStr"/>
    </row>
    <row r="2849" ht="15" customHeight="1">
      <c r="A2849" t="inlineStr">
        <is>
          <t>A 66381-2020</t>
        </is>
      </c>
      <c r="B2849" s="1" t="n">
        <v>44176</v>
      </c>
      <c r="C2849" s="1" t="n">
        <v>45211</v>
      </c>
      <c r="D2849" t="inlineStr">
        <is>
          <t>ÖSTERGÖTLANDS LÄN</t>
        </is>
      </c>
      <c r="E2849" t="inlineStr">
        <is>
          <t>NORRKÖPING</t>
        </is>
      </c>
      <c r="F2849" t="inlineStr">
        <is>
          <t>Holmen skog AB</t>
        </is>
      </c>
      <c r="G2849" t="n">
        <v>0.6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s="2" t="inlineStr"/>
    </row>
    <row r="2850" ht="15" customHeight="1">
      <c r="A2850" t="inlineStr">
        <is>
          <t>A 66475-2020</t>
        </is>
      </c>
      <c r="B2850" s="1" t="n">
        <v>44177</v>
      </c>
      <c r="C2850" s="1" t="n">
        <v>45211</v>
      </c>
      <c r="D2850" t="inlineStr">
        <is>
          <t>ÖSTERGÖTLANDS LÄN</t>
        </is>
      </c>
      <c r="E2850" t="inlineStr">
        <is>
          <t>NORRKÖPING</t>
        </is>
      </c>
      <c r="G2850" t="n">
        <v>4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s="2" t="inlineStr"/>
    </row>
    <row r="2851" ht="15" customHeight="1">
      <c r="A2851" t="inlineStr">
        <is>
          <t>A 66478-2020</t>
        </is>
      </c>
      <c r="B2851" s="1" t="n">
        <v>44177</v>
      </c>
      <c r="C2851" s="1" t="n">
        <v>45211</v>
      </c>
      <c r="D2851" t="inlineStr">
        <is>
          <t>ÖSTERGÖTLANDS LÄN</t>
        </is>
      </c>
      <c r="E2851" t="inlineStr">
        <is>
          <t>NORRKÖPING</t>
        </is>
      </c>
      <c r="G2851" t="n">
        <v>1.7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s="2" t="inlineStr"/>
    </row>
    <row r="2852" ht="15" customHeight="1">
      <c r="A2852" t="inlineStr">
        <is>
          <t>A 66476-2020</t>
        </is>
      </c>
      <c r="B2852" s="1" t="n">
        <v>44177</v>
      </c>
      <c r="C2852" s="1" t="n">
        <v>45211</v>
      </c>
      <c r="D2852" t="inlineStr">
        <is>
          <t>ÖSTERGÖTLANDS LÄN</t>
        </is>
      </c>
      <c r="E2852" t="inlineStr">
        <is>
          <t>NORRKÖPING</t>
        </is>
      </c>
      <c r="G2852" t="n">
        <v>2.3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s="2" t="inlineStr"/>
    </row>
    <row r="2853" ht="15" customHeight="1">
      <c r="A2853" t="inlineStr">
        <is>
          <t>A 66716-2020</t>
        </is>
      </c>
      <c r="B2853" s="1" t="n">
        <v>44179</v>
      </c>
      <c r="C2853" s="1" t="n">
        <v>45211</v>
      </c>
      <c r="D2853" t="inlineStr">
        <is>
          <t>ÖSTERGÖTLANDS LÄN</t>
        </is>
      </c>
      <c r="E2853" t="inlineStr">
        <is>
          <t>YDRE</t>
        </is>
      </c>
      <c r="G2853" t="n">
        <v>1.1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s="2" t="inlineStr"/>
    </row>
    <row r="2854" ht="15" customHeight="1">
      <c r="A2854" t="inlineStr">
        <is>
          <t>A 67135-2020</t>
        </is>
      </c>
      <c r="B2854" s="1" t="n">
        <v>44180</v>
      </c>
      <c r="C2854" s="1" t="n">
        <v>45211</v>
      </c>
      <c r="D2854" t="inlineStr">
        <is>
          <t>ÖSTERGÖTLANDS LÄN</t>
        </is>
      </c>
      <c r="E2854" t="inlineStr">
        <is>
          <t>LINKÖPING</t>
        </is>
      </c>
      <c r="F2854" t="inlineStr">
        <is>
          <t>Övriga statliga verk och myndigheter</t>
        </is>
      </c>
      <c r="G2854" t="n">
        <v>3.7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s="2" t="inlineStr"/>
    </row>
    <row r="2855" ht="15" customHeight="1">
      <c r="A2855" t="inlineStr">
        <is>
          <t>A 67208-2020</t>
        </is>
      </c>
      <c r="B2855" s="1" t="n">
        <v>44180</v>
      </c>
      <c r="C2855" s="1" t="n">
        <v>45211</v>
      </c>
      <c r="D2855" t="inlineStr">
        <is>
          <t>ÖSTERGÖTLANDS LÄN</t>
        </is>
      </c>
      <c r="E2855" t="inlineStr">
        <is>
          <t>FINSPÅNG</t>
        </is>
      </c>
      <c r="F2855" t="inlineStr">
        <is>
          <t>Holmen skog AB</t>
        </is>
      </c>
      <c r="G2855" t="n">
        <v>0.5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s="2" t="inlineStr"/>
    </row>
    <row r="2856" ht="15" customHeight="1">
      <c r="A2856" t="inlineStr">
        <is>
          <t>A 66970-2020</t>
        </is>
      </c>
      <c r="B2856" s="1" t="n">
        <v>44180</v>
      </c>
      <c r="C2856" s="1" t="n">
        <v>45211</v>
      </c>
      <c r="D2856" t="inlineStr">
        <is>
          <t>ÖSTERGÖTLANDS LÄN</t>
        </is>
      </c>
      <c r="E2856" t="inlineStr">
        <is>
          <t>LINKÖPING</t>
        </is>
      </c>
      <c r="F2856" t="inlineStr">
        <is>
          <t>Övriga statliga verk och myndigheter</t>
        </is>
      </c>
      <c r="G2856" t="n">
        <v>11.1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s="2" t="inlineStr"/>
    </row>
    <row r="2857" ht="15" customHeight="1">
      <c r="A2857" t="inlineStr">
        <is>
          <t>A 67123-2020</t>
        </is>
      </c>
      <c r="B2857" s="1" t="n">
        <v>44180</v>
      </c>
      <c r="C2857" s="1" t="n">
        <v>45211</v>
      </c>
      <c r="D2857" t="inlineStr">
        <is>
          <t>ÖSTERGÖTLANDS LÄN</t>
        </is>
      </c>
      <c r="E2857" t="inlineStr">
        <is>
          <t>LINKÖPING</t>
        </is>
      </c>
      <c r="F2857" t="inlineStr">
        <is>
          <t>Övriga statliga verk och myndigheter</t>
        </is>
      </c>
      <c r="G2857" t="n">
        <v>1.3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s="2" t="inlineStr"/>
    </row>
    <row r="2858" ht="15" customHeight="1">
      <c r="A2858" t="inlineStr">
        <is>
          <t>A 67129-2020</t>
        </is>
      </c>
      <c r="B2858" s="1" t="n">
        <v>44180</v>
      </c>
      <c r="C2858" s="1" t="n">
        <v>45211</v>
      </c>
      <c r="D2858" t="inlineStr">
        <is>
          <t>ÖSTERGÖTLANDS LÄN</t>
        </is>
      </c>
      <c r="E2858" t="inlineStr">
        <is>
          <t>LINKÖPING</t>
        </is>
      </c>
      <c r="F2858" t="inlineStr">
        <is>
          <t>Övriga statliga verk och myndigheter</t>
        </is>
      </c>
      <c r="G2858" t="n">
        <v>2.7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s="2" t="inlineStr"/>
    </row>
    <row r="2859" ht="15" customHeight="1">
      <c r="A2859" t="inlineStr">
        <is>
          <t>A 67120-2020</t>
        </is>
      </c>
      <c r="B2859" s="1" t="n">
        <v>44180</v>
      </c>
      <c r="C2859" s="1" t="n">
        <v>45211</v>
      </c>
      <c r="D2859" t="inlineStr">
        <is>
          <t>ÖSTERGÖTLANDS LÄN</t>
        </is>
      </c>
      <c r="E2859" t="inlineStr">
        <is>
          <t>LINKÖPING</t>
        </is>
      </c>
      <c r="F2859" t="inlineStr">
        <is>
          <t>Övriga statliga verk och myndigheter</t>
        </is>
      </c>
      <c r="G2859" t="n">
        <v>1.4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s="2" t="inlineStr"/>
    </row>
    <row r="2860" ht="15" customHeight="1">
      <c r="A2860" t="inlineStr">
        <is>
          <t>A 67138-2020</t>
        </is>
      </c>
      <c r="B2860" s="1" t="n">
        <v>44180</v>
      </c>
      <c r="C2860" s="1" t="n">
        <v>45211</v>
      </c>
      <c r="D2860" t="inlineStr">
        <is>
          <t>ÖSTERGÖTLANDS LÄN</t>
        </is>
      </c>
      <c r="E2860" t="inlineStr">
        <is>
          <t>LINKÖPING</t>
        </is>
      </c>
      <c r="F2860" t="inlineStr">
        <is>
          <t>Övriga statliga verk och myndigheter</t>
        </is>
      </c>
      <c r="G2860" t="n">
        <v>10.9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s="2" t="inlineStr"/>
    </row>
    <row r="2861" ht="15" customHeight="1">
      <c r="A2861" t="inlineStr">
        <is>
          <t>A 67164-2020</t>
        </is>
      </c>
      <c r="B2861" s="1" t="n">
        <v>44180</v>
      </c>
      <c r="C2861" s="1" t="n">
        <v>45211</v>
      </c>
      <c r="D2861" t="inlineStr">
        <is>
          <t>ÖSTERGÖTLANDS LÄN</t>
        </is>
      </c>
      <c r="E2861" t="inlineStr">
        <is>
          <t>LINKÖPING</t>
        </is>
      </c>
      <c r="F2861" t="inlineStr">
        <is>
          <t>Övriga statliga verk och myndigheter</t>
        </is>
      </c>
      <c r="G2861" t="n">
        <v>8.6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s="2" t="inlineStr"/>
    </row>
    <row r="2862" ht="15" customHeight="1">
      <c r="A2862" t="inlineStr">
        <is>
          <t>A 67255-2020</t>
        </is>
      </c>
      <c r="B2862" s="1" t="n">
        <v>44181</v>
      </c>
      <c r="C2862" s="1" t="n">
        <v>45211</v>
      </c>
      <c r="D2862" t="inlineStr">
        <is>
          <t>ÖSTERGÖTLANDS LÄN</t>
        </is>
      </c>
      <c r="E2862" t="inlineStr">
        <is>
          <t>ÅTVIDABERG</t>
        </is>
      </c>
      <c r="G2862" t="n">
        <v>1.3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s="2" t="inlineStr"/>
    </row>
    <row r="2863" ht="15" customHeight="1">
      <c r="A2863" t="inlineStr">
        <is>
          <t>A 67492-2020</t>
        </is>
      </c>
      <c r="B2863" s="1" t="n">
        <v>44181</v>
      </c>
      <c r="C2863" s="1" t="n">
        <v>45211</v>
      </c>
      <c r="D2863" t="inlineStr">
        <is>
          <t>ÖSTERGÖTLANDS LÄN</t>
        </is>
      </c>
      <c r="E2863" t="inlineStr">
        <is>
          <t>VALDEMARSVIK</t>
        </is>
      </c>
      <c r="G2863" t="n">
        <v>6.8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s="2" t="inlineStr"/>
    </row>
    <row r="2864" ht="15" customHeight="1">
      <c r="A2864" t="inlineStr">
        <is>
          <t>A 67452-2020</t>
        </is>
      </c>
      <c r="B2864" s="1" t="n">
        <v>44181</v>
      </c>
      <c r="C2864" s="1" t="n">
        <v>45211</v>
      </c>
      <c r="D2864" t="inlineStr">
        <is>
          <t>ÖSTERGÖTLANDS LÄN</t>
        </is>
      </c>
      <c r="E2864" t="inlineStr">
        <is>
          <t>FINSPÅNG</t>
        </is>
      </c>
      <c r="F2864" t="inlineStr">
        <is>
          <t>Holmen skog AB</t>
        </is>
      </c>
      <c r="G2864" t="n">
        <v>2.2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s="2" t="inlineStr"/>
    </row>
    <row r="2865" ht="15" customHeight="1">
      <c r="A2865" t="inlineStr">
        <is>
          <t>A 67358-2020</t>
        </is>
      </c>
      <c r="B2865" s="1" t="n">
        <v>44181</v>
      </c>
      <c r="C2865" s="1" t="n">
        <v>45211</v>
      </c>
      <c r="D2865" t="inlineStr">
        <is>
          <t>ÖSTERGÖTLANDS LÄN</t>
        </is>
      </c>
      <c r="E2865" t="inlineStr">
        <is>
          <t>NORRKÖPING</t>
        </is>
      </c>
      <c r="F2865" t="inlineStr">
        <is>
          <t>Holmen skog AB</t>
        </is>
      </c>
      <c r="G2865" t="n">
        <v>0.6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s="2" t="inlineStr"/>
    </row>
    <row r="2866" ht="15" customHeight="1">
      <c r="A2866" t="inlineStr">
        <is>
          <t>A 67502-2020</t>
        </is>
      </c>
      <c r="B2866" s="1" t="n">
        <v>44181</v>
      </c>
      <c r="C2866" s="1" t="n">
        <v>45211</v>
      </c>
      <c r="D2866" t="inlineStr">
        <is>
          <t>ÖSTERGÖTLANDS LÄN</t>
        </is>
      </c>
      <c r="E2866" t="inlineStr">
        <is>
          <t>VALDEMARSVIK</t>
        </is>
      </c>
      <c r="G2866" t="n">
        <v>2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s="2" t="inlineStr"/>
    </row>
    <row r="2867" ht="15" customHeight="1">
      <c r="A2867" t="inlineStr">
        <is>
          <t>A 67364-2020</t>
        </is>
      </c>
      <c r="B2867" s="1" t="n">
        <v>44181</v>
      </c>
      <c r="C2867" s="1" t="n">
        <v>45211</v>
      </c>
      <c r="D2867" t="inlineStr">
        <is>
          <t>ÖSTERGÖTLANDS LÄN</t>
        </is>
      </c>
      <c r="E2867" t="inlineStr">
        <is>
          <t>YDRE</t>
        </is>
      </c>
      <c r="G2867" t="n">
        <v>1.1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s="2" t="inlineStr"/>
    </row>
    <row r="2868" ht="15" customHeight="1">
      <c r="A2868" t="inlineStr">
        <is>
          <t>A 67473-2020</t>
        </is>
      </c>
      <c r="B2868" s="1" t="n">
        <v>44181</v>
      </c>
      <c r="C2868" s="1" t="n">
        <v>45211</v>
      </c>
      <c r="D2868" t="inlineStr">
        <is>
          <t>ÖSTERGÖTLANDS LÄN</t>
        </is>
      </c>
      <c r="E2868" t="inlineStr">
        <is>
          <t>FINSPÅNG</t>
        </is>
      </c>
      <c r="F2868" t="inlineStr">
        <is>
          <t>Holmen skog AB</t>
        </is>
      </c>
      <c r="G2868" t="n">
        <v>0.7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s="2" t="inlineStr"/>
    </row>
    <row r="2869" ht="15" customHeight="1">
      <c r="A2869" t="inlineStr">
        <is>
          <t>A 67525-2020</t>
        </is>
      </c>
      <c r="B2869" s="1" t="n">
        <v>44181</v>
      </c>
      <c r="C2869" s="1" t="n">
        <v>45211</v>
      </c>
      <c r="D2869" t="inlineStr">
        <is>
          <t>ÖSTERGÖTLANDS LÄN</t>
        </is>
      </c>
      <c r="E2869" t="inlineStr">
        <is>
          <t>VALDEMARSVIK</t>
        </is>
      </c>
      <c r="G2869" t="n">
        <v>20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s="2" t="inlineStr"/>
    </row>
    <row r="2870" ht="15" customHeight="1">
      <c r="A2870" t="inlineStr">
        <is>
          <t>A 67557-2020</t>
        </is>
      </c>
      <c r="B2870" s="1" t="n">
        <v>44181</v>
      </c>
      <c r="C2870" s="1" t="n">
        <v>45211</v>
      </c>
      <c r="D2870" t="inlineStr">
        <is>
          <t>ÖSTERGÖTLANDS LÄN</t>
        </is>
      </c>
      <c r="E2870" t="inlineStr">
        <is>
          <t>NORRKÖPING</t>
        </is>
      </c>
      <c r="G2870" t="n">
        <v>10.1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s="2" t="inlineStr"/>
    </row>
    <row r="2871" ht="15" customHeight="1">
      <c r="A2871" t="inlineStr">
        <is>
          <t>A 67578-2020</t>
        </is>
      </c>
      <c r="B2871" s="1" t="n">
        <v>44181</v>
      </c>
      <c r="C2871" s="1" t="n">
        <v>45211</v>
      </c>
      <c r="D2871" t="inlineStr">
        <is>
          <t>ÖSTERGÖTLANDS LÄN</t>
        </is>
      </c>
      <c r="E2871" t="inlineStr">
        <is>
          <t>FINSPÅNG</t>
        </is>
      </c>
      <c r="G2871" t="n">
        <v>1.5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s="2" t="inlineStr"/>
    </row>
    <row r="2872" ht="15" customHeight="1">
      <c r="A2872" t="inlineStr">
        <is>
          <t>A 67737-2020</t>
        </is>
      </c>
      <c r="B2872" s="1" t="n">
        <v>44182</v>
      </c>
      <c r="C2872" s="1" t="n">
        <v>45211</v>
      </c>
      <c r="D2872" t="inlineStr">
        <is>
          <t>ÖSTERGÖTLANDS LÄN</t>
        </is>
      </c>
      <c r="E2872" t="inlineStr">
        <is>
          <t>ÖDESHÖG</t>
        </is>
      </c>
      <c r="G2872" t="n">
        <v>5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s="2" t="inlineStr"/>
    </row>
    <row r="2873" ht="15" customHeight="1">
      <c r="A2873" t="inlineStr">
        <is>
          <t>A 67754-2020</t>
        </is>
      </c>
      <c r="B2873" s="1" t="n">
        <v>44182</v>
      </c>
      <c r="C2873" s="1" t="n">
        <v>45211</v>
      </c>
      <c r="D2873" t="inlineStr">
        <is>
          <t>ÖSTERGÖTLANDS LÄN</t>
        </is>
      </c>
      <c r="E2873" t="inlineStr">
        <is>
          <t>ÖDESHÖG</t>
        </is>
      </c>
      <c r="G2873" t="n">
        <v>3.8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s="2" t="inlineStr"/>
    </row>
    <row r="2874" ht="15" customHeight="1">
      <c r="A2874" t="inlineStr">
        <is>
          <t>A 67963-2020</t>
        </is>
      </c>
      <c r="B2874" s="1" t="n">
        <v>44182</v>
      </c>
      <c r="C2874" s="1" t="n">
        <v>45211</v>
      </c>
      <c r="D2874" t="inlineStr">
        <is>
          <t>ÖSTERGÖTLANDS LÄN</t>
        </is>
      </c>
      <c r="E2874" t="inlineStr">
        <is>
          <t>ÖDESHÖG</t>
        </is>
      </c>
      <c r="G2874" t="n">
        <v>9.699999999999999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s="2" t="inlineStr"/>
    </row>
    <row r="2875" ht="15" customHeight="1">
      <c r="A2875" t="inlineStr">
        <is>
          <t>A 67702-2020</t>
        </is>
      </c>
      <c r="B2875" s="1" t="n">
        <v>44182</v>
      </c>
      <c r="C2875" s="1" t="n">
        <v>45211</v>
      </c>
      <c r="D2875" t="inlineStr">
        <is>
          <t>ÖSTERGÖTLANDS LÄN</t>
        </is>
      </c>
      <c r="E2875" t="inlineStr">
        <is>
          <t>FINSPÅNG</t>
        </is>
      </c>
      <c r="F2875" t="inlineStr">
        <is>
          <t>Holmen skog AB</t>
        </is>
      </c>
      <c r="G2875" t="n">
        <v>0.5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s="2" t="inlineStr"/>
    </row>
    <row r="2876" ht="15" customHeight="1">
      <c r="A2876" t="inlineStr">
        <is>
          <t>A 67794-2020</t>
        </is>
      </c>
      <c r="B2876" s="1" t="n">
        <v>44182</v>
      </c>
      <c r="C2876" s="1" t="n">
        <v>45211</v>
      </c>
      <c r="D2876" t="inlineStr">
        <is>
          <t>ÖSTERGÖTLANDS LÄN</t>
        </is>
      </c>
      <c r="E2876" t="inlineStr">
        <is>
          <t>FINSPÅNG</t>
        </is>
      </c>
      <c r="F2876" t="inlineStr">
        <is>
          <t>Holmen skog AB</t>
        </is>
      </c>
      <c r="G2876" t="n">
        <v>1.6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s="2" t="inlineStr"/>
    </row>
    <row r="2877" ht="15" customHeight="1">
      <c r="A2877" t="inlineStr">
        <is>
          <t>A 67956-2020</t>
        </is>
      </c>
      <c r="B2877" s="1" t="n">
        <v>44182</v>
      </c>
      <c r="C2877" s="1" t="n">
        <v>45211</v>
      </c>
      <c r="D2877" t="inlineStr">
        <is>
          <t>ÖSTERGÖTLANDS LÄN</t>
        </is>
      </c>
      <c r="E2877" t="inlineStr">
        <is>
          <t>ÖDESHÖG</t>
        </is>
      </c>
      <c r="G2877" t="n">
        <v>0.5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s="2" t="inlineStr"/>
    </row>
    <row r="2878" ht="15" customHeight="1">
      <c r="A2878" t="inlineStr">
        <is>
          <t>A 67746-2020</t>
        </is>
      </c>
      <c r="B2878" s="1" t="n">
        <v>44182</v>
      </c>
      <c r="C2878" s="1" t="n">
        <v>45211</v>
      </c>
      <c r="D2878" t="inlineStr">
        <is>
          <t>ÖSTERGÖTLANDS LÄN</t>
        </is>
      </c>
      <c r="E2878" t="inlineStr">
        <is>
          <t>ÖDESHÖG</t>
        </is>
      </c>
      <c r="G2878" t="n">
        <v>15.7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s="2" t="inlineStr"/>
    </row>
    <row r="2879" ht="15" customHeight="1">
      <c r="A2879" t="inlineStr">
        <is>
          <t>A 67937-2020</t>
        </is>
      </c>
      <c r="B2879" s="1" t="n">
        <v>44182</v>
      </c>
      <c r="C2879" s="1" t="n">
        <v>45211</v>
      </c>
      <c r="D2879" t="inlineStr">
        <is>
          <t>ÖSTERGÖTLANDS LÄN</t>
        </is>
      </c>
      <c r="E2879" t="inlineStr">
        <is>
          <t>FINSPÅNG</t>
        </is>
      </c>
      <c r="F2879" t="inlineStr">
        <is>
          <t>Holmen skog AB</t>
        </is>
      </c>
      <c r="G2879" t="n">
        <v>3.1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s="2" t="inlineStr"/>
    </row>
    <row r="2880" ht="15" customHeight="1">
      <c r="A2880" t="inlineStr">
        <is>
          <t>A 68182-2020</t>
        </is>
      </c>
      <c r="B2880" s="1" t="n">
        <v>44183</v>
      </c>
      <c r="C2880" s="1" t="n">
        <v>45211</v>
      </c>
      <c r="D2880" t="inlineStr">
        <is>
          <t>ÖSTERGÖTLANDS LÄN</t>
        </is>
      </c>
      <c r="E2880" t="inlineStr">
        <is>
          <t>YDRE</t>
        </is>
      </c>
      <c r="F2880" t="inlineStr">
        <is>
          <t>Sveaskog</t>
        </is>
      </c>
      <c r="G2880" t="n">
        <v>2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s="2" t="inlineStr"/>
    </row>
    <row r="2881" ht="15" customHeight="1">
      <c r="A2881" t="inlineStr">
        <is>
          <t>A 68538-2020</t>
        </is>
      </c>
      <c r="B2881" s="1" t="n">
        <v>44186</v>
      </c>
      <c r="C2881" s="1" t="n">
        <v>45211</v>
      </c>
      <c r="D2881" t="inlineStr">
        <is>
          <t>ÖSTERGÖTLANDS LÄN</t>
        </is>
      </c>
      <c r="E2881" t="inlineStr">
        <is>
          <t>YDRE</t>
        </is>
      </c>
      <c r="G2881" t="n">
        <v>1.4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s="2" t="inlineStr"/>
    </row>
    <row r="2882" ht="15" customHeight="1">
      <c r="A2882" t="inlineStr">
        <is>
          <t>A 68601-2020</t>
        </is>
      </c>
      <c r="B2882" s="1" t="n">
        <v>44186</v>
      </c>
      <c r="C2882" s="1" t="n">
        <v>45211</v>
      </c>
      <c r="D2882" t="inlineStr">
        <is>
          <t>ÖSTERGÖTLANDS LÄN</t>
        </is>
      </c>
      <c r="E2882" t="inlineStr">
        <is>
          <t>SÖDERKÖPING</t>
        </is>
      </c>
      <c r="G2882" t="n">
        <v>1.6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s="2" t="inlineStr"/>
    </row>
    <row r="2883" ht="15" customHeight="1">
      <c r="A2883" t="inlineStr">
        <is>
          <t>A 68560-2020</t>
        </is>
      </c>
      <c r="B2883" s="1" t="n">
        <v>44186</v>
      </c>
      <c r="C2883" s="1" t="n">
        <v>45211</v>
      </c>
      <c r="D2883" t="inlineStr">
        <is>
          <t>ÖSTERGÖTLANDS LÄN</t>
        </is>
      </c>
      <c r="E2883" t="inlineStr">
        <is>
          <t>MOTALA</t>
        </is>
      </c>
      <c r="G2883" t="n">
        <v>0.6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s="2" t="inlineStr"/>
    </row>
    <row r="2884" ht="15" customHeight="1">
      <c r="A2884" t="inlineStr">
        <is>
          <t>A 68826-2020</t>
        </is>
      </c>
      <c r="B2884" s="1" t="n">
        <v>44187</v>
      </c>
      <c r="C2884" s="1" t="n">
        <v>45211</v>
      </c>
      <c r="D2884" t="inlineStr">
        <is>
          <t>ÖSTERGÖTLANDS LÄN</t>
        </is>
      </c>
      <c r="E2884" t="inlineStr">
        <is>
          <t>BOXHOLM</t>
        </is>
      </c>
      <c r="G2884" t="n">
        <v>0.6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s="2" t="inlineStr"/>
    </row>
    <row r="2885" ht="15" customHeight="1">
      <c r="A2885" t="inlineStr">
        <is>
          <t>A 68808-2020</t>
        </is>
      </c>
      <c r="B2885" s="1" t="n">
        <v>44187</v>
      </c>
      <c r="C2885" s="1" t="n">
        <v>45211</v>
      </c>
      <c r="D2885" t="inlineStr">
        <is>
          <t>ÖSTERGÖTLANDS LÄN</t>
        </is>
      </c>
      <c r="E2885" t="inlineStr">
        <is>
          <t>YDRE</t>
        </is>
      </c>
      <c r="G2885" t="n">
        <v>2.2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s="2" t="inlineStr"/>
    </row>
    <row r="2886" ht="15" customHeight="1">
      <c r="A2886" t="inlineStr">
        <is>
          <t>A 68850-2020</t>
        </is>
      </c>
      <c r="B2886" s="1" t="n">
        <v>44187</v>
      </c>
      <c r="C2886" s="1" t="n">
        <v>45211</v>
      </c>
      <c r="D2886" t="inlineStr">
        <is>
          <t>ÖSTERGÖTLANDS LÄN</t>
        </is>
      </c>
      <c r="E2886" t="inlineStr">
        <is>
          <t>KINDA</t>
        </is>
      </c>
      <c r="G2886" t="n">
        <v>4.4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s="2" t="inlineStr"/>
    </row>
    <row r="2887" ht="15" customHeight="1">
      <c r="A2887" t="inlineStr">
        <is>
          <t>A 69128-2020</t>
        </is>
      </c>
      <c r="B2887" s="1" t="n">
        <v>44188</v>
      </c>
      <c r="C2887" s="1" t="n">
        <v>45211</v>
      </c>
      <c r="D2887" t="inlineStr">
        <is>
          <t>ÖSTERGÖTLANDS LÄN</t>
        </is>
      </c>
      <c r="E2887" t="inlineStr">
        <is>
          <t>MJÖLBY</t>
        </is>
      </c>
      <c r="G2887" t="n">
        <v>4.9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s="2" t="inlineStr"/>
    </row>
    <row r="2888" ht="15" customHeight="1">
      <c r="A2888" t="inlineStr">
        <is>
          <t>A 69227-2020</t>
        </is>
      </c>
      <c r="B2888" s="1" t="n">
        <v>44192</v>
      </c>
      <c r="C2888" s="1" t="n">
        <v>45211</v>
      </c>
      <c r="D2888" t="inlineStr">
        <is>
          <t>ÖSTERGÖTLANDS LÄN</t>
        </is>
      </c>
      <c r="E2888" t="inlineStr">
        <is>
          <t>NORRKÖPING</t>
        </is>
      </c>
      <c r="F2888" t="inlineStr">
        <is>
          <t>Allmännings- och besparingsskogar</t>
        </is>
      </c>
      <c r="G2888" t="n">
        <v>11.8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s="2" t="inlineStr"/>
    </row>
    <row r="2889" ht="15" customHeight="1">
      <c r="A2889" t="inlineStr">
        <is>
          <t>A 69327-2020</t>
        </is>
      </c>
      <c r="B2889" s="1" t="n">
        <v>44193</v>
      </c>
      <c r="C2889" s="1" t="n">
        <v>45211</v>
      </c>
      <c r="D2889" t="inlineStr">
        <is>
          <t>ÖSTERGÖTLANDS LÄN</t>
        </is>
      </c>
      <c r="E2889" t="inlineStr">
        <is>
          <t>BOXHOLM</t>
        </is>
      </c>
      <c r="F2889" t="inlineStr">
        <is>
          <t>Övriga Aktiebolag</t>
        </is>
      </c>
      <c r="G2889" t="n">
        <v>2.7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s="2" t="inlineStr"/>
    </row>
    <row r="2890" ht="15" customHeight="1">
      <c r="A2890" t="inlineStr">
        <is>
          <t>A 69386-2020</t>
        </is>
      </c>
      <c r="B2890" s="1" t="n">
        <v>44193</v>
      </c>
      <c r="C2890" s="1" t="n">
        <v>45211</v>
      </c>
      <c r="D2890" t="inlineStr">
        <is>
          <t>ÖSTERGÖTLANDS LÄN</t>
        </is>
      </c>
      <c r="E2890" t="inlineStr">
        <is>
          <t>FINSPÅNG</t>
        </is>
      </c>
      <c r="G2890" t="n">
        <v>1.4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s="2" t="inlineStr"/>
    </row>
    <row r="2891" ht="15" customHeight="1">
      <c r="A2891" t="inlineStr">
        <is>
          <t>A 69310-2020</t>
        </is>
      </c>
      <c r="B2891" s="1" t="n">
        <v>44193</v>
      </c>
      <c r="C2891" s="1" t="n">
        <v>45211</v>
      </c>
      <c r="D2891" t="inlineStr">
        <is>
          <t>ÖSTERGÖTLANDS LÄN</t>
        </is>
      </c>
      <c r="E2891" t="inlineStr">
        <is>
          <t>FINSPÅNG</t>
        </is>
      </c>
      <c r="F2891" t="inlineStr">
        <is>
          <t>Holmen skog AB</t>
        </is>
      </c>
      <c r="G2891" t="n">
        <v>0.7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s="2" t="inlineStr"/>
    </row>
    <row r="2892" ht="15" customHeight="1">
      <c r="A2892" t="inlineStr">
        <is>
          <t>A 69377-2020</t>
        </is>
      </c>
      <c r="B2892" s="1" t="n">
        <v>44193</v>
      </c>
      <c r="C2892" s="1" t="n">
        <v>45211</v>
      </c>
      <c r="D2892" t="inlineStr">
        <is>
          <t>ÖSTERGÖTLANDS LÄN</t>
        </is>
      </c>
      <c r="E2892" t="inlineStr">
        <is>
          <t>FINSPÅNG</t>
        </is>
      </c>
      <c r="G2892" t="n">
        <v>1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s="2" t="inlineStr"/>
    </row>
    <row r="2893" ht="15" customHeight="1">
      <c r="A2893" t="inlineStr">
        <is>
          <t>A 69395-2020</t>
        </is>
      </c>
      <c r="B2893" s="1" t="n">
        <v>44193</v>
      </c>
      <c r="C2893" s="1" t="n">
        <v>45211</v>
      </c>
      <c r="D2893" t="inlineStr">
        <is>
          <t>ÖSTERGÖTLANDS LÄN</t>
        </is>
      </c>
      <c r="E2893" t="inlineStr">
        <is>
          <t>FINSPÅNG</t>
        </is>
      </c>
      <c r="F2893" t="inlineStr">
        <is>
          <t>Holmen skog AB</t>
        </is>
      </c>
      <c r="G2893" t="n">
        <v>1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s="2" t="inlineStr"/>
    </row>
    <row r="2894" ht="15" customHeight="1">
      <c r="A2894" t="inlineStr">
        <is>
          <t>A 69484-2020</t>
        </is>
      </c>
      <c r="B2894" s="1" t="n">
        <v>44194</v>
      </c>
      <c r="C2894" s="1" t="n">
        <v>45211</v>
      </c>
      <c r="D2894" t="inlineStr">
        <is>
          <t>ÖSTERGÖTLANDS LÄN</t>
        </is>
      </c>
      <c r="E2894" t="inlineStr">
        <is>
          <t>MOTALA</t>
        </is>
      </c>
      <c r="F2894" t="inlineStr">
        <is>
          <t>Sveaskog</t>
        </is>
      </c>
      <c r="G2894" t="n">
        <v>0.7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s="2" t="inlineStr"/>
    </row>
    <row r="2895" ht="15" customHeight="1">
      <c r="A2895" t="inlineStr">
        <is>
          <t>A 69570-2020</t>
        </is>
      </c>
      <c r="B2895" s="1" t="n">
        <v>44194</v>
      </c>
      <c r="C2895" s="1" t="n">
        <v>45211</v>
      </c>
      <c r="D2895" t="inlineStr">
        <is>
          <t>ÖSTERGÖTLANDS LÄN</t>
        </is>
      </c>
      <c r="E2895" t="inlineStr">
        <is>
          <t>MJÖLBY</t>
        </is>
      </c>
      <c r="G2895" t="n">
        <v>1.1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s="2" t="inlineStr"/>
    </row>
    <row r="2896" ht="15" customHeight="1">
      <c r="A2896" t="inlineStr">
        <is>
          <t>A 218-2021</t>
        </is>
      </c>
      <c r="B2896" s="1" t="n">
        <v>44200</v>
      </c>
      <c r="C2896" s="1" t="n">
        <v>45211</v>
      </c>
      <c r="D2896" t="inlineStr">
        <is>
          <t>ÖSTERGÖTLANDS LÄN</t>
        </is>
      </c>
      <c r="E2896" t="inlineStr">
        <is>
          <t>YDRE</t>
        </is>
      </c>
      <c r="G2896" t="n">
        <v>4.1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s="2" t="inlineStr"/>
    </row>
    <row r="2897" ht="15" customHeight="1">
      <c r="A2897" t="inlineStr">
        <is>
          <t>A 262-2021</t>
        </is>
      </c>
      <c r="B2897" s="1" t="n">
        <v>44200</v>
      </c>
      <c r="C2897" s="1" t="n">
        <v>45211</v>
      </c>
      <c r="D2897" t="inlineStr">
        <is>
          <t>ÖSTERGÖTLANDS LÄN</t>
        </is>
      </c>
      <c r="E2897" t="inlineStr">
        <is>
          <t>LINKÖPING</t>
        </is>
      </c>
      <c r="G2897" t="n">
        <v>5.2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s="2" t="inlineStr"/>
    </row>
    <row r="2898" ht="15" customHeight="1">
      <c r="A2898" t="inlineStr">
        <is>
          <t>A 268-2021</t>
        </is>
      </c>
      <c r="B2898" s="1" t="n">
        <v>44200</v>
      </c>
      <c r="C2898" s="1" t="n">
        <v>45211</v>
      </c>
      <c r="D2898" t="inlineStr">
        <is>
          <t>ÖSTERGÖTLANDS LÄN</t>
        </is>
      </c>
      <c r="E2898" t="inlineStr">
        <is>
          <t>MOTALA</t>
        </is>
      </c>
      <c r="F2898" t="inlineStr">
        <is>
          <t>Övriga statliga verk och myndigheter</t>
        </is>
      </c>
      <c r="G2898" t="n">
        <v>5.3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s="2" t="inlineStr"/>
    </row>
    <row r="2899" ht="15" customHeight="1">
      <c r="A2899" t="inlineStr">
        <is>
          <t>A 240-2021</t>
        </is>
      </c>
      <c r="B2899" s="1" t="n">
        <v>44200</v>
      </c>
      <c r="C2899" s="1" t="n">
        <v>45211</v>
      </c>
      <c r="D2899" t="inlineStr">
        <is>
          <t>ÖSTERGÖTLANDS LÄN</t>
        </is>
      </c>
      <c r="E2899" t="inlineStr">
        <is>
          <t>MJÖLBY</t>
        </is>
      </c>
      <c r="G2899" t="n">
        <v>1.8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s="2" t="inlineStr"/>
    </row>
    <row r="2900" ht="15" customHeight="1">
      <c r="A2900" t="inlineStr">
        <is>
          <t>A 261-2021</t>
        </is>
      </c>
      <c r="B2900" s="1" t="n">
        <v>44200</v>
      </c>
      <c r="C2900" s="1" t="n">
        <v>45211</v>
      </c>
      <c r="D2900" t="inlineStr">
        <is>
          <t>ÖSTERGÖTLANDS LÄN</t>
        </is>
      </c>
      <c r="E2900" t="inlineStr">
        <is>
          <t>LINKÖPING</t>
        </is>
      </c>
      <c r="G2900" t="n">
        <v>3.1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s="2" t="inlineStr"/>
    </row>
    <row r="2901" ht="15" customHeight="1">
      <c r="A2901" t="inlineStr">
        <is>
          <t>A 267-2021</t>
        </is>
      </c>
      <c r="B2901" s="1" t="n">
        <v>44200</v>
      </c>
      <c r="C2901" s="1" t="n">
        <v>45211</v>
      </c>
      <c r="D2901" t="inlineStr">
        <is>
          <t>ÖSTERGÖTLANDS LÄN</t>
        </is>
      </c>
      <c r="E2901" t="inlineStr">
        <is>
          <t>MOTALA</t>
        </is>
      </c>
      <c r="F2901" t="inlineStr">
        <is>
          <t>Övriga statliga verk och myndigheter</t>
        </is>
      </c>
      <c r="G2901" t="n">
        <v>1.2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s="2" t="inlineStr"/>
    </row>
    <row r="2902" ht="15" customHeight="1">
      <c r="A2902" t="inlineStr">
        <is>
          <t>A 398-2021</t>
        </is>
      </c>
      <c r="B2902" s="1" t="n">
        <v>44201</v>
      </c>
      <c r="C2902" s="1" t="n">
        <v>45211</v>
      </c>
      <c r="D2902" t="inlineStr">
        <is>
          <t>ÖSTERGÖTLANDS LÄN</t>
        </is>
      </c>
      <c r="E2902" t="inlineStr">
        <is>
          <t>LINKÖPING</t>
        </is>
      </c>
      <c r="G2902" t="n">
        <v>2.2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s="2" t="inlineStr"/>
    </row>
    <row r="2903" ht="15" customHeight="1">
      <c r="A2903" t="inlineStr">
        <is>
          <t>A 500-2021</t>
        </is>
      </c>
      <c r="B2903" s="1" t="n">
        <v>44203</v>
      </c>
      <c r="C2903" s="1" t="n">
        <v>45211</v>
      </c>
      <c r="D2903" t="inlineStr">
        <is>
          <t>ÖSTERGÖTLANDS LÄN</t>
        </is>
      </c>
      <c r="E2903" t="inlineStr">
        <is>
          <t>KINDA</t>
        </is>
      </c>
      <c r="G2903" t="n">
        <v>1.1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s="2" t="inlineStr"/>
    </row>
    <row r="2904" ht="15" customHeight="1">
      <c r="A2904" t="inlineStr">
        <is>
          <t>A 531-2021</t>
        </is>
      </c>
      <c r="B2904" s="1" t="n">
        <v>44203</v>
      </c>
      <c r="C2904" s="1" t="n">
        <v>45211</v>
      </c>
      <c r="D2904" t="inlineStr">
        <is>
          <t>ÖSTERGÖTLANDS LÄN</t>
        </is>
      </c>
      <c r="E2904" t="inlineStr">
        <is>
          <t>YDRE</t>
        </is>
      </c>
      <c r="G2904" t="n">
        <v>0.9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s="2" t="inlineStr"/>
    </row>
    <row r="2905" ht="15" customHeight="1">
      <c r="A2905" t="inlineStr">
        <is>
          <t>A 594-2021</t>
        </is>
      </c>
      <c r="B2905" s="1" t="n">
        <v>44203</v>
      </c>
      <c r="C2905" s="1" t="n">
        <v>45211</v>
      </c>
      <c r="D2905" t="inlineStr">
        <is>
          <t>ÖSTERGÖTLANDS LÄN</t>
        </is>
      </c>
      <c r="E2905" t="inlineStr">
        <is>
          <t>FINSPÅNG</t>
        </is>
      </c>
      <c r="G2905" t="n">
        <v>2.8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s="2" t="inlineStr"/>
    </row>
    <row r="2906" ht="15" customHeight="1">
      <c r="A2906" t="inlineStr">
        <is>
          <t>A 608-2021</t>
        </is>
      </c>
      <c r="B2906" s="1" t="n">
        <v>44203</v>
      </c>
      <c r="C2906" s="1" t="n">
        <v>45211</v>
      </c>
      <c r="D2906" t="inlineStr">
        <is>
          <t>ÖSTERGÖTLANDS LÄN</t>
        </is>
      </c>
      <c r="E2906" t="inlineStr">
        <is>
          <t>FINSPÅNG</t>
        </is>
      </c>
      <c r="G2906" t="n">
        <v>0.5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s="2" t="inlineStr"/>
    </row>
    <row r="2907" ht="15" customHeight="1">
      <c r="A2907" t="inlineStr">
        <is>
          <t>A 491-2021</t>
        </is>
      </c>
      <c r="B2907" s="1" t="n">
        <v>44203</v>
      </c>
      <c r="C2907" s="1" t="n">
        <v>45211</v>
      </c>
      <c r="D2907" t="inlineStr">
        <is>
          <t>ÖSTERGÖTLANDS LÄN</t>
        </is>
      </c>
      <c r="E2907" t="inlineStr">
        <is>
          <t>KINDA</t>
        </is>
      </c>
      <c r="G2907" t="n">
        <v>0.5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s="2" t="inlineStr"/>
    </row>
    <row r="2908" ht="15" customHeight="1">
      <c r="A2908" t="inlineStr">
        <is>
          <t>A 595-2021</t>
        </is>
      </c>
      <c r="B2908" s="1" t="n">
        <v>44203</v>
      </c>
      <c r="C2908" s="1" t="n">
        <v>45211</v>
      </c>
      <c r="D2908" t="inlineStr">
        <is>
          <t>ÖSTERGÖTLANDS LÄN</t>
        </is>
      </c>
      <c r="E2908" t="inlineStr">
        <is>
          <t>FINSPÅNG</t>
        </is>
      </c>
      <c r="G2908" t="n">
        <v>1.7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s="2" t="inlineStr"/>
    </row>
    <row r="2909" ht="15" customHeight="1">
      <c r="A2909" t="inlineStr">
        <is>
          <t>A 496-2021</t>
        </is>
      </c>
      <c r="B2909" s="1" t="n">
        <v>44203</v>
      </c>
      <c r="C2909" s="1" t="n">
        <v>45211</v>
      </c>
      <c r="D2909" t="inlineStr">
        <is>
          <t>ÖSTERGÖTLANDS LÄN</t>
        </is>
      </c>
      <c r="E2909" t="inlineStr">
        <is>
          <t>KINDA</t>
        </is>
      </c>
      <c r="G2909" t="n">
        <v>1.8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s="2" t="inlineStr"/>
    </row>
    <row r="2910" ht="15" customHeight="1">
      <c r="A2910" t="inlineStr">
        <is>
          <t>A 507-2021</t>
        </is>
      </c>
      <c r="B2910" s="1" t="n">
        <v>44203</v>
      </c>
      <c r="C2910" s="1" t="n">
        <v>45211</v>
      </c>
      <c r="D2910" t="inlineStr">
        <is>
          <t>ÖSTERGÖTLANDS LÄN</t>
        </is>
      </c>
      <c r="E2910" t="inlineStr">
        <is>
          <t>VALDEMARSVIK</t>
        </is>
      </c>
      <c r="G2910" t="n">
        <v>2.3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s="2" t="inlineStr"/>
    </row>
    <row r="2911" ht="15" customHeight="1">
      <c r="A2911" t="inlineStr">
        <is>
          <t>A 586-2021</t>
        </is>
      </c>
      <c r="B2911" s="1" t="n">
        <v>44203</v>
      </c>
      <c r="C2911" s="1" t="n">
        <v>45211</v>
      </c>
      <c r="D2911" t="inlineStr">
        <is>
          <t>ÖSTERGÖTLANDS LÄN</t>
        </is>
      </c>
      <c r="E2911" t="inlineStr">
        <is>
          <t>FINSPÅNG</t>
        </is>
      </c>
      <c r="G2911" t="n">
        <v>2.2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s="2" t="inlineStr"/>
    </row>
    <row r="2912" ht="15" customHeight="1">
      <c r="A2912" t="inlineStr">
        <is>
          <t>A 1128-2021</t>
        </is>
      </c>
      <c r="B2912" s="1" t="n">
        <v>44207</v>
      </c>
      <c r="C2912" s="1" t="n">
        <v>45211</v>
      </c>
      <c r="D2912" t="inlineStr">
        <is>
          <t>ÖSTERGÖTLANDS LÄN</t>
        </is>
      </c>
      <c r="E2912" t="inlineStr">
        <is>
          <t>ÅTVIDABERG</t>
        </is>
      </c>
      <c r="G2912" t="n">
        <v>1.4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s="2" t="inlineStr"/>
    </row>
    <row r="2913" ht="15" customHeight="1">
      <c r="A2913" t="inlineStr">
        <is>
          <t>A 1161-2021</t>
        </is>
      </c>
      <c r="B2913" s="1" t="n">
        <v>44207</v>
      </c>
      <c r="C2913" s="1" t="n">
        <v>45211</v>
      </c>
      <c r="D2913" t="inlineStr">
        <is>
          <t>ÖSTERGÖTLANDS LÄN</t>
        </is>
      </c>
      <c r="E2913" t="inlineStr">
        <is>
          <t>KINDA</t>
        </is>
      </c>
      <c r="G2913" t="n">
        <v>3.7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s="2" t="inlineStr"/>
    </row>
    <row r="2914" ht="15" customHeight="1">
      <c r="A2914" t="inlineStr">
        <is>
          <t>A 918-2021</t>
        </is>
      </c>
      <c r="B2914" s="1" t="n">
        <v>44207</v>
      </c>
      <c r="C2914" s="1" t="n">
        <v>45211</v>
      </c>
      <c r="D2914" t="inlineStr">
        <is>
          <t>ÖSTERGÖTLANDS LÄN</t>
        </is>
      </c>
      <c r="E2914" t="inlineStr">
        <is>
          <t>ÅTVIDABERG</t>
        </is>
      </c>
      <c r="G2914" t="n">
        <v>2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s="2" t="inlineStr"/>
    </row>
    <row r="2915" ht="15" customHeight="1">
      <c r="A2915" t="inlineStr">
        <is>
          <t>A 1217-2021</t>
        </is>
      </c>
      <c r="B2915" s="1" t="n">
        <v>44208</v>
      </c>
      <c r="C2915" s="1" t="n">
        <v>45211</v>
      </c>
      <c r="D2915" t="inlineStr">
        <is>
          <t>ÖSTERGÖTLANDS LÄN</t>
        </is>
      </c>
      <c r="E2915" t="inlineStr">
        <is>
          <t>NORRKÖPING</t>
        </is>
      </c>
      <c r="G2915" t="n">
        <v>6.1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s="2" t="inlineStr"/>
    </row>
    <row r="2916" ht="15" customHeight="1">
      <c r="A2916" t="inlineStr">
        <is>
          <t>A 1275-2021</t>
        </is>
      </c>
      <c r="B2916" s="1" t="n">
        <v>44208</v>
      </c>
      <c r="C2916" s="1" t="n">
        <v>45211</v>
      </c>
      <c r="D2916" t="inlineStr">
        <is>
          <t>ÖSTERGÖTLANDS LÄN</t>
        </is>
      </c>
      <c r="E2916" t="inlineStr">
        <is>
          <t>FINSPÅNG</t>
        </is>
      </c>
      <c r="F2916" t="inlineStr">
        <is>
          <t>Holmen skog AB</t>
        </is>
      </c>
      <c r="G2916" t="n">
        <v>0.5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s="2" t="inlineStr"/>
    </row>
    <row r="2917" ht="15" customHeight="1">
      <c r="A2917" t="inlineStr">
        <is>
          <t>A 1248-2021</t>
        </is>
      </c>
      <c r="B2917" s="1" t="n">
        <v>44208</v>
      </c>
      <c r="C2917" s="1" t="n">
        <v>45211</v>
      </c>
      <c r="D2917" t="inlineStr">
        <is>
          <t>ÖSTERGÖTLANDS LÄN</t>
        </is>
      </c>
      <c r="E2917" t="inlineStr">
        <is>
          <t>NORRKÖPING</t>
        </is>
      </c>
      <c r="F2917" t="inlineStr">
        <is>
          <t>Holmen skog AB</t>
        </is>
      </c>
      <c r="G2917" t="n">
        <v>0.6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s="2" t="inlineStr"/>
    </row>
    <row r="2918" ht="15" customHeight="1">
      <c r="A2918" t="inlineStr">
        <is>
          <t>A 1440-2021</t>
        </is>
      </c>
      <c r="B2918" s="1" t="n">
        <v>44208</v>
      </c>
      <c r="C2918" s="1" t="n">
        <v>45211</v>
      </c>
      <c r="D2918" t="inlineStr">
        <is>
          <t>ÖSTERGÖTLANDS LÄN</t>
        </is>
      </c>
      <c r="E2918" t="inlineStr">
        <is>
          <t>LINKÖPING</t>
        </is>
      </c>
      <c r="G2918" t="n">
        <v>8.4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s="2" t="inlineStr"/>
    </row>
    <row r="2919" ht="15" customHeight="1">
      <c r="A2919" t="inlineStr">
        <is>
          <t>A 1675-2021</t>
        </is>
      </c>
      <c r="B2919" s="1" t="n">
        <v>44209</v>
      </c>
      <c r="C2919" s="1" t="n">
        <v>45211</v>
      </c>
      <c r="D2919" t="inlineStr">
        <is>
          <t>ÖSTERGÖTLANDS LÄN</t>
        </is>
      </c>
      <c r="E2919" t="inlineStr">
        <is>
          <t>FINSPÅNG</t>
        </is>
      </c>
      <c r="G2919" t="n">
        <v>0.5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s="2" t="inlineStr"/>
    </row>
    <row r="2920" ht="15" customHeight="1">
      <c r="A2920" t="inlineStr">
        <is>
          <t>A 1660-2021</t>
        </is>
      </c>
      <c r="B2920" s="1" t="n">
        <v>44209</v>
      </c>
      <c r="C2920" s="1" t="n">
        <v>45211</v>
      </c>
      <c r="D2920" t="inlineStr">
        <is>
          <t>ÖSTERGÖTLANDS LÄN</t>
        </is>
      </c>
      <c r="E2920" t="inlineStr">
        <is>
          <t>NORRKÖPING</t>
        </is>
      </c>
      <c r="F2920" t="inlineStr">
        <is>
          <t>Holmen skog AB</t>
        </is>
      </c>
      <c r="G2920" t="n">
        <v>1.1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s="2" t="inlineStr"/>
    </row>
    <row r="2921" ht="15" customHeight="1">
      <c r="A2921" t="inlineStr">
        <is>
          <t>A 1674-2021</t>
        </is>
      </c>
      <c r="B2921" s="1" t="n">
        <v>44209</v>
      </c>
      <c r="C2921" s="1" t="n">
        <v>45211</v>
      </c>
      <c r="D2921" t="inlineStr">
        <is>
          <t>ÖSTERGÖTLANDS LÄN</t>
        </is>
      </c>
      <c r="E2921" t="inlineStr">
        <is>
          <t>FINSPÅNG</t>
        </is>
      </c>
      <c r="G2921" t="n">
        <v>0.6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s="2" t="inlineStr"/>
    </row>
    <row r="2922" ht="15" customHeight="1">
      <c r="A2922" t="inlineStr">
        <is>
          <t>A 1514-2021</t>
        </is>
      </c>
      <c r="B2922" s="1" t="n">
        <v>44209</v>
      </c>
      <c r="C2922" s="1" t="n">
        <v>45211</v>
      </c>
      <c r="D2922" t="inlineStr">
        <is>
          <t>ÖSTERGÖTLANDS LÄN</t>
        </is>
      </c>
      <c r="E2922" t="inlineStr">
        <is>
          <t>FINSPÅNG</t>
        </is>
      </c>
      <c r="F2922" t="inlineStr">
        <is>
          <t>Holmen skog AB</t>
        </is>
      </c>
      <c r="G2922" t="n">
        <v>0.5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s="2" t="inlineStr"/>
    </row>
    <row r="2923" ht="15" customHeight="1">
      <c r="A2923" t="inlineStr">
        <is>
          <t>A 1702-2021</t>
        </is>
      </c>
      <c r="B2923" s="1" t="n">
        <v>44209</v>
      </c>
      <c r="C2923" s="1" t="n">
        <v>45211</v>
      </c>
      <c r="D2923" t="inlineStr">
        <is>
          <t>ÖSTERGÖTLANDS LÄN</t>
        </is>
      </c>
      <c r="E2923" t="inlineStr">
        <is>
          <t>ÖDESHÖG</t>
        </is>
      </c>
      <c r="G2923" t="n">
        <v>5.3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s="2" t="inlineStr"/>
    </row>
    <row r="2924" ht="15" customHeight="1">
      <c r="A2924" t="inlineStr">
        <is>
          <t>A 1803-2021</t>
        </is>
      </c>
      <c r="B2924" s="1" t="n">
        <v>44210</v>
      </c>
      <c r="C2924" s="1" t="n">
        <v>45211</v>
      </c>
      <c r="D2924" t="inlineStr">
        <is>
          <t>ÖSTERGÖTLANDS LÄN</t>
        </is>
      </c>
      <c r="E2924" t="inlineStr">
        <is>
          <t>ÅTVIDABERG</t>
        </is>
      </c>
      <c r="G2924" t="n">
        <v>0.5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s="2" t="inlineStr"/>
    </row>
    <row r="2925" ht="15" customHeight="1">
      <c r="A2925" t="inlineStr">
        <is>
          <t>A 1781-2021</t>
        </is>
      </c>
      <c r="B2925" s="1" t="n">
        <v>44210</v>
      </c>
      <c r="C2925" s="1" t="n">
        <v>45211</v>
      </c>
      <c r="D2925" t="inlineStr">
        <is>
          <t>ÖSTERGÖTLANDS LÄN</t>
        </is>
      </c>
      <c r="E2925" t="inlineStr">
        <is>
          <t>ÅTVIDABERG</t>
        </is>
      </c>
      <c r="G2925" t="n">
        <v>1.1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s="2" t="inlineStr"/>
    </row>
    <row r="2926" ht="15" customHeight="1">
      <c r="A2926" t="inlineStr">
        <is>
          <t>A 2081-2021</t>
        </is>
      </c>
      <c r="B2926" s="1" t="n">
        <v>44211</v>
      </c>
      <c r="C2926" s="1" t="n">
        <v>45211</v>
      </c>
      <c r="D2926" t="inlineStr">
        <is>
          <t>ÖSTERGÖTLANDS LÄN</t>
        </is>
      </c>
      <c r="E2926" t="inlineStr">
        <is>
          <t>FINSPÅNG</t>
        </is>
      </c>
      <c r="F2926" t="inlineStr">
        <is>
          <t>Holmen skog AB</t>
        </is>
      </c>
      <c r="G2926" t="n">
        <v>0.5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s="2" t="inlineStr"/>
    </row>
    <row r="2927" ht="15" customHeight="1">
      <c r="A2927" t="inlineStr">
        <is>
          <t>A 2261-2021</t>
        </is>
      </c>
      <c r="B2927" s="1" t="n">
        <v>44211</v>
      </c>
      <c r="C2927" s="1" t="n">
        <v>45211</v>
      </c>
      <c r="D2927" t="inlineStr">
        <is>
          <t>ÖSTERGÖTLANDS LÄN</t>
        </is>
      </c>
      <c r="E2927" t="inlineStr">
        <is>
          <t>NORRKÖPING</t>
        </is>
      </c>
      <c r="F2927" t="inlineStr">
        <is>
          <t>Holmen skog AB</t>
        </is>
      </c>
      <c r="G2927" t="n">
        <v>0.5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s="2" t="inlineStr"/>
    </row>
    <row r="2928" ht="15" customHeight="1">
      <c r="A2928" t="inlineStr">
        <is>
          <t>A 2267-2021</t>
        </is>
      </c>
      <c r="B2928" s="1" t="n">
        <v>44211</v>
      </c>
      <c r="C2928" s="1" t="n">
        <v>45211</v>
      </c>
      <c r="D2928" t="inlineStr">
        <is>
          <t>ÖSTERGÖTLANDS LÄN</t>
        </is>
      </c>
      <c r="E2928" t="inlineStr">
        <is>
          <t>NORRKÖPING</t>
        </is>
      </c>
      <c r="F2928" t="inlineStr">
        <is>
          <t>Holmen skog AB</t>
        </is>
      </c>
      <c r="G2928" t="n">
        <v>0.2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s="2" t="inlineStr"/>
    </row>
    <row r="2929" ht="15" customHeight="1">
      <c r="A2929" t="inlineStr">
        <is>
          <t>A 2266-2021</t>
        </is>
      </c>
      <c r="B2929" s="1" t="n">
        <v>44211</v>
      </c>
      <c r="C2929" s="1" t="n">
        <v>45211</v>
      </c>
      <c r="D2929" t="inlineStr">
        <is>
          <t>ÖSTERGÖTLANDS LÄN</t>
        </is>
      </c>
      <c r="E2929" t="inlineStr">
        <is>
          <t>NORRKÖPING</t>
        </is>
      </c>
      <c r="F2929" t="inlineStr">
        <is>
          <t>Holmen skog AB</t>
        </is>
      </c>
      <c r="G2929" t="n">
        <v>0.2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s="2" t="inlineStr"/>
    </row>
    <row r="2930" ht="15" customHeight="1">
      <c r="A2930" t="inlineStr">
        <is>
          <t>A 2264-2021</t>
        </is>
      </c>
      <c r="B2930" s="1" t="n">
        <v>44211</v>
      </c>
      <c r="C2930" s="1" t="n">
        <v>45211</v>
      </c>
      <c r="D2930" t="inlineStr">
        <is>
          <t>ÖSTERGÖTLANDS LÄN</t>
        </is>
      </c>
      <c r="E2930" t="inlineStr">
        <is>
          <t>NORRKÖPING</t>
        </is>
      </c>
      <c r="F2930" t="inlineStr">
        <is>
          <t>Holmen skog AB</t>
        </is>
      </c>
      <c r="G2930" t="n">
        <v>0.1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s="2" t="inlineStr"/>
    </row>
    <row r="2931" ht="15" customHeight="1">
      <c r="A2931" t="inlineStr">
        <is>
          <t>A 2268-2021</t>
        </is>
      </c>
      <c r="B2931" s="1" t="n">
        <v>44211</v>
      </c>
      <c r="C2931" s="1" t="n">
        <v>45211</v>
      </c>
      <c r="D2931" t="inlineStr">
        <is>
          <t>ÖSTERGÖTLANDS LÄN</t>
        </is>
      </c>
      <c r="E2931" t="inlineStr">
        <is>
          <t>NORRKÖPING</t>
        </is>
      </c>
      <c r="F2931" t="inlineStr">
        <is>
          <t>Holmen skog AB</t>
        </is>
      </c>
      <c r="G2931" t="n">
        <v>0.2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s="2" t="inlineStr"/>
    </row>
    <row r="2932" ht="15" customHeight="1">
      <c r="A2932" t="inlineStr">
        <is>
          <t>A 2331-2021</t>
        </is>
      </c>
      <c r="B2932" s="1" t="n">
        <v>44211</v>
      </c>
      <c r="C2932" s="1" t="n">
        <v>45211</v>
      </c>
      <c r="D2932" t="inlineStr">
        <is>
          <t>ÖSTERGÖTLANDS LÄN</t>
        </is>
      </c>
      <c r="E2932" t="inlineStr">
        <is>
          <t>YDRE</t>
        </is>
      </c>
      <c r="G2932" t="n">
        <v>2.8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s="2" t="inlineStr"/>
    </row>
    <row r="2933" ht="15" customHeight="1">
      <c r="A2933" t="inlineStr">
        <is>
          <t>A 2132-2021</t>
        </is>
      </c>
      <c r="B2933" s="1" t="n">
        <v>44211</v>
      </c>
      <c r="C2933" s="1" t="n">
        <v>45211</v>
      </c>
      <c r="D2933" t="inlineStr">
        <is>
          <t>ÖSTERGÖTLANDS LÄN</t>
        </is>
      </c>
      <c r="E2933" t="inlineStr">
        <is>
          <t>YDRE</t>
        </is>
      </c>
      <c r="F2933" t="inlineStr">
        <is>
          <t>Sveaskog</t>
        </is>
      </c>
      <c r="G2933" t="n">
        <v>3.2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s="2" t="inlineStr"/>
    </row>
    <row r="2934" ht="15" customHeight="1">
      <c r="A2934" t="inlineStr">
        <is>
          <t>A 2265-2021</t>
        </is>
      </c>
      <c r="B2934" s="1" t="n">
        <v>44211</v>
      </c>
      <c r="C2934" s="1" t="n">
        <v>45211</v>
      </c>
      <c r="D2934" t="inlineStr">
        <is>
          <t>ÖSTERGÖTLANDS LÄN</t>
        </is>
      </c>
      <c r="E2934" t="inlineStr">
        <is>
          <t>NORRKÖPING</t>
        </is>
      </c>
      <c r="F2934" t="inlineStr">
        <is>
          <t>Holmen skog AB</t>
        </is>
      </c>
      <c r="G2934" t="n">
        <v>0.2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s="2" t="inlineStr"/>
    </row>
    <row r="2935" ht="15" customHeight="1">
      <c r="A2935" t="inlineStr">
        <is>
          <t>A 2300-2021</t>
        </is>
      </c>
      <c r="B2935" s="1" t="n">
        <v>44212</v>
      </c>
      <c r="C2935" s="1" t="n">
        <v>45211</v>
      </c>
      <c r="D2935" t="inlineStr">
        <is>
          <t>ÖSTERGÖTLANDS LÄN</t>
        </is>
      </c>
      <c r="E2935" t="inlineStr">
        <is>
          <t>NORRKÖPING</t>
        </is>
      </c>
      <c r="F2935" t="inlineStr">
        <is>
          <t>Holmen skog AB</t>
        </is>
      </c>
      <c r="G2935" t="n">
        <v>0.5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s="2" t="inlineStr"/>
    </row>
    <row r="2936" ht="15" customHeight="1">
      <c r="A2936" t="inlineStr">
        <is>
          <t>A 2329-2021</t>
        </is>
      </c>
      <c r="B2936" s="1" t="n">
        <v>44214</v>
      </c>
      <c r="C2936" s="1" t="n">
        <v>45211</v>
      </c>
      <c r="D2936" t="inlineStr">
        <is>
          <t>ÖSTERGÖTLANDS LÄN</t>
        </is>
      </c>
      <c r="E2936" t="inlineStr">
        <is>
          <t>FINSPÅNG</t>
        </is>
      </c>
      <c r="G2936" t="n">
        <v>7.3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s="2" t="inlineStr"/>
    </row>
    <row r="2937" ht="15" customHeight="1">
      <c r="A2937" t="inlineStr">
        <is>
          <t>A 2581-2021</t>
        </is>
      </c>
      <c r="B2937" s="1" t="n">
        <v>44214</v>
      </c>
      <c r="C2937" s="1" t="n">
        <v>45211</v>
      </c>
      <c r="D2937" t="inlineStr">
        <is>
          <t>ÖSTERGÖTLANDS LÄN</t>
        </is>
      </c>
      <c r="E2937" t="inlineStr">
        <is>
          <t>NORRKÖPING</t>
        </is>
      </c>
      <c r="F2937" t="inlineStr">
        <is>
          <t>Holmen skog AB</t>
        </is>
      </c>
      <c r="G2937" t="n">
        <v>0.2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s="2" t="inlineStr"/>
    </row>
    <row r="2938" ht="15" customHeight="1">
      <c r="A2938" t="inlineStr">
        <is>
          <t>A 2582-2021</t>
        </is>
      </c>
      <c r="B2938" s="1" t="n">
        <v>44214</v>
      </c>
      <c r="C2938" s="1" t="n">
        <v>45211</v>
      </c>
      <c r="D2938" t="inlineStr">
        <is>
          <t>ÖSTERGÖTLANDS LÄN</t>
        </is>
      </c>
      <c r="E2938" t="inlineStr">
        <is>
          <t>NORRKÖPING</t>
        </is>
      </c>
      <c r="F2938" t="inlineStr">
        <is>
          <t>Holmen skog AB</t>
        </is>
      </c>
      <c r="G2938" t="n">
        <v>0.1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s="2" t="inlineStr"/>
    </row>
    <row r="2939" ht="15" customHeight="1">
      <c r="A2939" t="inlineStr">
        <is>
          <t>A 2592-2021</t>
        </is>
      </c>
      <c r="B2939" s="1" t="n">
        <v>44214</v>
      </c>
      <c r="C2939" s="1" t="n">
        <v>45211</v>
      </c>
      <c r="D2939" t="inlineStr">
        <is>
          <t>ÖSTERGÖTLANDS LÄN</t>
        </is>
      </c>
      <c r="E2939" t="inlineStr">
        <is>
          <t>NORRKÖPING</t>
        </is>
      </c>
      <c r="F2939" t="inlineStr">
        <is>
          <t>Holmen skog AB</t>
        </is>
      </c>
      <c r="G2939" t="n">
        <v>0.5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s="2" t="inlineStr"/>
    </row>
    <row r="2940" ht="15" customHeight="1">
      <c r="A2940" t="inlineStr">
        <is>
          <t>A 2587-2021</t>
        </is>
      </c>
      <c r="B2940" s="1" t="n">
        <v>44214</v>
      </c>
      <c r="C2940" s="1" t="n">
        <v>45211</v>
      </c>
      <c r="D2940" t="inlineStr">
        <is>
          <t>ÖSTERGÖTLANDS LÄN</t>
        </is>
      </c>
      <c r="E2940" t="inlineStr">
        <is>
          <t>ÅTVIDABERG</t>
        </is>
      </c>
      <c r="G2940" t="n">
        <v>2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s="2" t="inlineStr"/>
    </row>
    <row r="2941" ht="15" customHeight="1">
      <c r="A2941" t="inlineStr">
        <is>
          <t>A 2638-2021</t>
        </is>
      </c>
      <c r="B2941" s="1" t="n">
        <v>44215</v>
      </c>
      <c r="C2941" s="1" t="n">
        <v>45211</v>
      </c>
      <c r="D2941" t="inlineStr">
        <is>
          <t>ÖSTERGÖTLANDS LÄN</t>
        </is>
      </c>
      <c r="E2941" t="inlineStr">
        <is>
          <t>NORRKÖPING</t>
        </is>
      </c>
      <c r="G2941" t="n">
        <v>1.3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s="2" t="inlineStr"/>
    </row>
    <row r="2942" ht="15" customHeight="1">
      <c r="A2942" t="inlineStr">
        <is>
          <t>A 3183-2021</t>
        </is>
      </c>
      <c r="B2942" s="1" t="n">
        <v>44215</v>
      </c>
      <c r="C2942" s="1" t="n">
        <v>45211</v>
      </c>
      <c r="D2942" t="inlineStr">
        <is>
          <t>ÖSTERGÖTLANDS LÄN</t>
        </is>
      </c>
      <c r="E2942" t="inlineStr">
        <is>
          <t>KINDA</t>
        </is>
      </c>
      <c r="G2942" t="n">
        <v>2.7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s="2" t="inlineStr"/>
    </row>
    <row r="2943" ht="15" customHeight="1">
      <c r="A2943" t="inlineStr">
        <is>
          <t>A 2740-2021</t>
        </is>
      </c>
      <c r="B2943" s="1" t="n">
        <v>44215</v>
      </c>
      <c r="C2943" s="1" t="n">
        <v>45211</v>
      </c>
      <c r="D2943" t="inlineStr">
        <is>
          <t>ÖSTERGÖTLANDS LÄN</t>
        </is>
      </c>
      <c r="E2943" t="inlineStr">
        <is>
          <t>FINSPÅNG</t>
        </is>
      </c>
      <c r="G2943" t="n">
        <v>3.3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s="2" t="inlineStr"/>
    </row>
    <row r="2944" ht="15" customHeight="1">
      <c r="A2944" t="inlineStr">
        <is>
          <t>A 2997-2021</t>
        </is>
      </c>
      <c r="B2944" s="1" t="n">
        <v>44216</v>
      </c>
      <c r="C2944" s="1" t="n">
        <v>45211</v>
      </c>
      <c r="D2944" t="inlineStr">
        <is>
          <t>ÖSTERGÖTLANDS LÄN</t>
        </is>
      </c>
      <c r="E2944" t="inlineStr">
        <is>
          <t>FINSPÅNG</t>
        </is>
      </c>
      <c r="F2944" t="inlineStr">
        <is>
          <t>Holmen skog AB</t>
        </is>
      </c>
      <c r="G2944" t="n">
        <v>1.9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s="2" t="inlineStr"/>
    </row>
    <row r="2945" ht="15" customHeight="1">
      <c r="A2945" t="inlineStr">
        <is>
          <t>A 3001-2021</t>
        </is>
      </c>
      <c r="B2945" s="1" t="n">
        <v>44216</v>
      </c>
      <c r="C2945" s="1" t="n">
        <v>45211</v>
      </c>
      <c r="D2945" t="inlineStr">
        <is>
          <t>ÖSTERGÖTLANDS LÄN</t>
        </is>
      </c>
      <c r="E2945" t="inlineStr">
        <is>
          <t>FINSPÅNG</t>
        </is>
      </c>
      <c r="F2945" t="inlineStr">
        <is>
          <t>Holmen skog AB</t>
        </is>
      </c>
      <c r="G2945" t="n">
        <v>1.5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s="2" t="inlineStr"/>
    </row>
    <row r="2946" ht="15" customHeight="1">
      <c r="A2946" t="inlineStr">
        <is>
          <t>A 3040-2021</t>
        </is>
      </c>
      <c r="B2946" s="1" t="n">
        <v>44216</v>
      </c>
      <c r="C2946" s="1" t="n">
        <v>45211</v>
      </c>
      <c r="D2946" t="inlineStr">
        <is>
          <t>ÖSTERGÖTLANDS LÄN</t>
        </is>
      </c>
      <c r="E2946" t="inlineStr">
        <is>
          <t>NORRKÖPING</t>
        </is>
      </c>
      <c r="F2946" t="inlineStr">
        <is>
          <t>Holmen skog AB</t>
        </is>
      </c>
      <c r="G2946" t="n">
        <v>0.6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s="2" t="inlineStr"/>
    </row>
    <row r="2947" ht="15" customHeight="1">
      <c r="A2947" t="inlineStr">
        <is>
          <t>A 3057-2021</t>
        </is>
      </c>
      <c r="B2947" s="1" t="n">
        <v>44216</v>
      </c>
      <c r="C2947" s="1" t="n">
        <v>45211</v>
      </c>
      <c r="D2947" t="inlineStr">
        <is>
          <t>ÖSTERGÖTLANDS LÄN</t>
        </is>
      </c>
      <c r="E2947" t="inlineStr">
        <is>
          <t>FINSPÅNG</t>
        </is>
      </c>
      <c r="F2947" t="inlineStr">
        <is>
          <t>Holmen skog AB</t>
        </is>
      </c>
      <c r="G2947" t="n">
        <v>0.9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s="2" t="inlineStr"/>
    </row>
    <row r="2948" ht="15" customHeight="1">
      <c r="A2948" t="inlineStr">
        <is>
          <t>A 3079-2021</t>
        </is>
      </c>
      <c r="B2948" s="1" t="n">
        <v>44216</v>
      </c>
      <c r="C2948" s="1" t="n">
        <v>45211</v>
      </c>
      <c r="D2948" t="inlineStr">
        <is>
          <t>ÖSTERGÖTLANDS LÄN</t>
        </is>
      </c>
      <c r="E2948" t="inlineStr">
        <is>
          <t>FINSPÅNG</t>
        </is>
      </c>
      <c r="F2948" t="inlineStr">
        <is>
          <t>Holmen skog AB</t>
        </is>
      </c>
      <c r="G2948" t="n">
        <v>1.7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s="2" t="inlineStr"/>
    </row>
    <row r="2949" ht="15" customHeight="1">
      <c r="A2949" t="inlineStr">
        <is>
          <t>A 3055-2021</t>
        </is>
      </c>
      <c r="B2949" s="1" t="n">
        <v>44216</v>
      </c>
      <c r="C2949" s="1" t="n">
        <v>45211</v>
      </c>
      <c r="D2949" t="inlineStr">
        <is>
          <t>ÖSTERGÖTLANDS LÄN</t>
        </is>
      </c>
      <c r="E2949" t="inlineStr">
        <is>
          <t>FINSPÅNG</t>
        </is>
      </c>
      <c r="F2949" t="inlineStr">
        <is>
          <t>Holmen skog AB</t>
        </is>
      </c>
      <c r="G2949" t="n">
        <v>0.4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s="2" t="inlineStr"/>
    </row>
    <row r="2950" ht="15" customHeight="1">
      <c r="A2950" t="inlineStr">
        <is>
          <t>A 3173-2021</t>
        </is>
      </c>
      <c r="B2950" s="1" t="n">
        <v>44216</v>
      </c>
      <c r="C2950" s="1" t="n">
        <v>45211</v>
      </c>
      <c r="D2950" t="inlineStr">
        <is>
          <t>ÖSTERGÖTLANDS LÄN</t>
        </is>
      </c>
      <c r="E2950" t="inlineStr">
        <is>
          <t>MJÖLBY</t>
        </is>
      </c>
      <c r="G2950" t="n">
        <v>3.5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s="2" t="inlineStr"/>
    </row>
    <row r="2951" ht="15" customHeight="1">
      <c r="A2951" t="inlineStr">
        <is>
          <t>A 3088-2021</t>
        </is>
      </c>
      <c r="B2951" s="1" t="n">
        <v>44216</v>
      </c>
      <c r="C2951" s="1" t="n">
        <v>45211</v>
      </c>
      <c r="D2951" t="inlineStr">
        <is>
          <t>ÖSTERGÖTLANDS LÄN</t>
        </is>
      </c>
      <c r="E2951" t="inlineStr">
        <is>
          <t>FINSPÅNG</t>
        </is>
      </c>
      <c r="F2951" t="inlineStr">
        <is>
          <t>Holmen skog AB</t>
        </is>
      </c>
      <c r="G2951" t="n">
        <v>0.5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s="2" t="inlineStr"/>
    </row>
    <row r="2952" ht="15" customHeight="1">
      <c r="A2952" t="inlineStr">
        <is>
          <t>A 3528-2021</t>
        </is>
      </c>
      <c r="B2952" s="1" t="n">
        <v>44216</v>
      </c>
      <c r="C2952" s="1" t="n">
        <v>45211</v>
      </c>
      <c r="D2952" t="inlineStr">
        <is>
          <t>ÖSTERGÖTLANDS LÄN</t>
        </is>
      </c>
      <c r="E2952" t="inlineStr">
        <is>
          <t>KINDA</t>
        </is>
      </c>
      <c r="G2952" t="n">
        <v>1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s="2" t="inlineStr"/>
    </row>
    <row r="2953" ht="15" customHeight="1">
      <c r="A2953" t="inlineStr">
        <is>
          <t>A 3153-2021</t>
        </is>
      </c>
      <c r="B2953" s="1" t="n">
        <v>44217</v>
      </c>
      <c r="C2953" s="1" t="n">
        <v>45211</v>
      </c>
      <c r="D2953" t="inlineStr">
        <is>
          <t>ÖSTERGÖTLANDS LÄN</t>
        </is>
      </c>
      <c r="E2953" t="inlineStr">
        <is>
          <t>NORRKÖPING</t>
        </is>
      </c>
      <c r="G2953" t="n">
        <v>0.6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s="2" t="inlineStr"/>
    </row>
    <row r="2954" ht="15" customHeight="1">
      <c r="A2954" t="inlineStr">
        <is>
          <t>A 3324-2021</t>
        </is>
      </c>
      <c r="B2954" s="1" t="n">
        <v>44217</v>
      </c>
      <c r="C2954" s="1" t="n">
        <v>45211</v>
      </c>
      <c r="D2954" t="inlineStr">
        <is>
          <t>ÖSTERGÖTLANDS LÄN</t>
        </is>
      </c>
      <c r="E2954" t="inlineStr">
        <is>
          <t>FINSPÅNG</t>
        </is>
      </c>
      <c r="G2954" t="n">
        <v>4.3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s="2" t="inlineStr"/>
    </row>
    <row r="2955" ht="15" customHeight="1">
      <c r="A2955" t="inlineStr">
        <is>
          <t>A 3484-2021</t>
        </is>
      </c>
      <c r="B2955" s="1" t="n">
        <v>44218</v>
      </c>
      <c r="C2955" s="1" t="n">
        <v>45211</v>
      </c>
      <c r="D2955" t="inlineStr">
        <is>
          <t>ÖSTERGÖTLANDS LÄN</t>
        </is>
      </c>
      <c r="E2955" t="inlineStr">
        <is>
          <t>NORRKÖPING</t>
        </is>
      </c>
      <c r="F2955" t="inlineStr">
        <is>
          <t>Holmen skog AB</t>
        </is>
      </c>
      <c r="G2955" t="n">
        <v>0.6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s="2" t="inlineStr"/>
    </row>
    <row r="2956" ht="15" customHeight="1">
      <c r="A2956" t="inlineStr">
        <is>
          <t>A 4207-2021</t>
        </is>
      </c>
      <c r="B2956" s="1" t="n">
        <v>44218</v>
      </c>
      <c r="C2956" s="1" t="n">
        <v>45211</v>
      </c>
      <c r="D2956" t="inlineStr">
        <is>
          <t>ÖSTERGÖTLANDS LÄN</t>
        </is>
      </c>
      <c r="E2956" t="inlineStr">
        <is>
          <t>MOTALA</t>
        </is>
      </c>
      <c r="G2956" t="n">
        <v>2.8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s="2" t="inlineStr"/>
    </row>
    <row r="2957" ht="15" customHeight="1">
      <c r="A2957" t="inlineStr">
        <is>
          <t>A 3393-2021</t>
        </is>
      </c>
      <c r="B2957" s="1" t="n">
        <v>44218</v>
      </c>
      <c r="C2957" s="1" t="n">
        <v>45211</v>
      </c>
      <c r="D2957" t="inlineStr">
        <is>
          <t>ÖSTERGÖTLANDS LÄN</t>
        </is>
      </c>
      <c r="E2957" t="inlineStr">
        <is>
          <t>FINSPÅNG</t>
        </is>
      </c>
      <c r="F2957" t="inlineStr">
        <is>
          <t>Holmen skog AB</t>
        </is>
      </c>
      <c r="G2957" t="n">
        <v>0.8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s="2" t="inlineStr"/>
    </row>
    <row r="2958" ht="15" customHeight="1">
      <c r="A2958" t="inlineStr">
        <is>
          <t>A 3416-2021</t>
        </is>
      </c>
      <c r="B2958" s="1" t="n">
        <v>44218</v>
      </c>
      <c r="C2958" s="1" t="n">
        <v>45211</v>
      </c>
      <c r="D2958" t="inlineStr">
        <is>
          <t>ÖSTERGÖTLANDS LÄN</t>
        </is>
      </c>
      <c r="E2958" t="inlineStr">
        <is>
          <t>FINSPÅNG</t>
        </is>
      </c>
      <c r="G2958" t="n">
        <v>0.7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s="2" t="inlineStr"/>
    </row>
    <row r="2959" ht="15" customHeight="1">
      <c r="A2959" t="inlineStr">
        <is>
          <t>A 3496-2021</t>
        </is>
      </c>
      <c r="B2959" s="1" t="n">
        <v>44218</v>
      </c>
      <c r="C2959" s="1" t="n">
        <v>45211</v>
      </c>
      <c r="D2959" t="inlineStr">
        <is>
          <t>ÖSTERGÖTLANDS LÄN</t>
        </is>
      </c>
      <c r="E2959" t="inlineStr">
        <is>
          <t>LINKÖPING</t>
        </is>
      </c>
      <c r="G2959" t="n">
        <v>1.1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s="2" t="inlineStr"/>
    </row>
    <row r="2960" ht="15" customHeight="1">
      <c r="A2960" t="inlineStr">
        <is>
          <t>A 3398-2021</t>
        </is>
      </c>
      <c r="B2960" s="1" t="n">
        <v>44218</v>
      </c>
      <c r="C2960" s="1" t="n">
        <v>45211</v>
      </c>
      <c r="D2960" t="inlineStr">
        <is>
          <t>ÖSTERGÖTLANDS LÄN</t>
        </is>
      </c>
      <c r="E2960" t="inlineStr">
        <is>
          <t>FINSPÅNG</t>
        </is>
      </c>
      <c r="F2960" t="inlineStr">
        <is>
          <t>Holmen skog AB</t>
        </is>
      </c>
      <c r="G2960" t="n">
        <v>0.8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s="2" t="inlineStr"/>
    </row>
    <row r="2961" ht="15" customHeight="1">
      <c r="A2961" t="inlineStr">
        <is>
          <t>A 3437-2021</t>
        </is>
      </c>
      <c r="B2961" s="1" t="n">
        <v>44218</v>
      </c>
      <c r="C2961" s="1" t="n">
        <v>45211</v>
      </c>
      <c r="D2961" t="inlineStr">
        <is>
          <t>ÖSTERGÖTLANDS LÄN</t>
        </is>
      </c>
      <c r="E2961" t="inlineStr">
        <is>
          <t>FINSPÅNG</t>
        </is>
      </c>
      <c r="F2961" t="inlineStr">
        <is>
          <t>Holmen skog AB</t>
        </is>
      </c>
      <c r="G2961" t="n">
        <v>0.8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s="2" t="inlineStr"/>
    </row>
    <row r="2962" ht="15" customHeight="1">
      <c r="A2962" t="inlineStr">
        <is>
          <t>A 3503-2021</t>
        </is>
      </c>
      <c r="B2962" s="1" t="n">
        <v>44218</v>
      </c>
      <c r="C2962" s="1" t="n">
        <v>45211</v>
      </c>
      <c r="D2962" t="inlineStr">
        <is>
          <t>ÖSTERGÖTLANDS LÄN</t>
        </is>
      </c>
      <c r="E2962" t="inlineStr">
        <is>
          <t>FINSPÅNG</t>
        </is>
      </c>
      <c r="F2962" t="inlineStr">
        <is>
          <t>Holmen skog AB</t>
        </is>
      </c>
      <c r="G2962" t="n">
        <v>0.5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s="2" t="inlineStr"/>
    </row>
    <row r="2963" ht="15" customHeight="1">
      <c r="A2963" t="inlineStr">
        <is>
          <t>A 3558-2021</t>
        </is>
      </c>
      <c r="B2963" s="1" t="n">
        <v>44218</v>
      </c>
      <c r="C2963" s="1" t="n">
        <v>45211</v>
      </c>
      <c r="D2963" t="inlineStr">
        <is>
          <t>ÖSTERGÖTLANDS LÄN</t>
        </is>
      </c>
      <c r="E2963" t="inlineStr">
        <is>
          <t>NORRKÖPING</t>
        </is>
      </c>
      <c r="F2963" t="inlineStr">
        <is>
          <t>Holmen skog AB</t>
        </is>
      </c>
      <c r="G2963" t="n">
        <v>0.6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s="2" t="inlineStr"/>
    </row>
    <row r="2964" ht="15" customHeight="1">
      <c r="A2964" t="inlineStr">
        <is>
          <t>A 3362-2021</t>
        </is>
      </c>
      <c r="B2964" s="1" t="n">
        <v>44218</v>
      </c>
      <c r="C2964" s="1" t="n">
        <v>45211</v>
      </c>
      <c r="D2964" t="inlineStr">
        <is>
          <t>ÖSTERGÖTLANDS LÄN</t>
        </is>
      </c>
      <c r="E2964" t="inlineStr">
        <is>
          <t>LINKÖPING</t>
        </is>
      </c>
      <c r="G2964" t="n">
        <v>3.3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s="2" t="inlineStr"/>
    </row>
    <row r="2965" ht="15" customHeight="1">
      <c r="A2965" t="inlineStr">
        <is>
          <t>A 3430-2021</t>
        </is>
      </c>
      <c r="B2965" s="1" t="n">
        <v>44218</v>
      </c>
      <c r="C2965" s="1" t="n">
        <v>45211</v>
      </c>
      <c r="D2965" t="inlineStr">
        <is>
          <t>ÖSTERGÖTLANDS LÄN</t>
        </is>
      </c>
      <c r="E2965" t="inlineStr">
        <is>
          <t>KINDA</t>
        </is>
      </c>
      <c r="F2965" t="inlineStr">
        <is>
          <t>Sveaskog</t>
        </is>
      </c>
      <c r="G2965" t="n">
        <v>4.1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s="2" t="inlineStr"/>
    </row>
    <row r="2966" ht="15" customHeight="1">
      <c r="A2966" t="inlineStr">
        <is>
          <t>A 3556-2021</t>
        </is>
      </c>
      <c r="B2966" s="1" t="n">
        <v>44218</v>
      </c>
      <c r="C2966" s="1" t="n">
        <v>45211</v>
      </c>
      <c r="D2966" t="inlineStr">
        <is>
          <t>ÖSTERGÖTLANDS LÄN</t>
        </is>
      </c>
      <c r="E2966" t="inlineStr">
        <is>
          <t>NORRKÖPING</t>
        </is>
      </c>
      <c r="F2966" t="inlineStr">
        <is>
          <t>Holmen skog AB</t>
        </is>
      </c>
      <c r="G2966" t="n">
        <v>0.5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s="2" t="inlineStr"/>
    </row>
    <row r="2967" ht="15" customHeight="1">
      <c r="A2967" t="inlineStr">
        <is>
          <t>A 3578-2021</t>
        </is>
      </c>
      <c r="B2967" s="1" t="n">
        <v>44219</v>
      </c>
      <c r="C2967" s="1" t="n">
        <v>45211</v>
      </c>
      <c r="D2967" t="inlineStr">
        <is>
          <t>ÖSTERGÖTLANDS LÄN</t>
        </is>
      </c>
      <c r="E2967" t="inlineStr">
        <is>
          <t>NORRKÖPING</t>
        </is>
      </c>
      <c r="F2967" t="inlineStr">
        <is>
          <t>Holmen skog AB</t>
        </is>
      </c>
      <c r="G2967" t="n">
        <v>0.7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s="2" t="inlineStr"/>
    </row>
    <row r="2968" ht="15" customHeight="1">
      <c r="A2968" t="inlineStr">
        <is>
          <t>A 3577-2021</t>
        </is>
      </c>
      <c r="B2968" s="1" t="n">
        <v>44219</v>
      </c>
      <c r="C2968" s="1" t="n">
        <v>45211</v>
      </c>
      <c r="D2968" t="inlineStr">
        <is>
          <t>ÖSTERGÖTLANDS LÄN</t>
        </is>
      </c>
      <c r="E2968" t="inlineStr">
        <is>
          <t>NORRKÖPING</t>
        </is>
      </c>
      <c r="F2968" t="inlineStr">
        <is>
          <t>Holmen skog AB</t>
        </is>
      </c>
      <c r="G2968" t="n">
        <v>0.7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s="2" t="inlineStr"/>
    </row>
    <row r="2969" ht="15" customHeight="1">
      <c r="A2969" t="inlineStr">
        <is>
          <t>A 3700-2021</t>
        </is>
      </c>
      <c r="B2969" s="1" t="n">
        <v>44221</v>
      </c>
      <c r="C2969" s="1" t="n">
        <v>45211</v>
      </c>
      <c r="D2969" t="inlineStr">
        <is>
          <t>ÖSTERGÖTLANDS LÄN</t>
        </is>
      </c>
      <c r="E2969" t="inlineStr">
        <is>
          <t>FINSPÅNG</t>
        </is>
      </c>
      <c r="F2969" t="inlineStr">
        <is>
          <t>Holmen skog AB</t>
        </is>
      </c>
      <c r="G2969" t="n">
        <v>1.1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s="2" t="inlineStr"/>
    </row>
    <row r="2970" ht="15" customHeight="1">
      <c r="A2970" t="inlineStr">
        <is>
          <t>A 4210-2021</t>
        </is>
      </c>
      <c r="B2970" s="1" t="n">
        <v>44221</v>
      </c>
      <c r="C2970" s="1" t="n">
        <v>45211</v>
      </c>
      <c r="D2970" t="inlineStr">
        <is>
          <t>ÖSTERGÖTLANDS LÄN</t>
        </is>
      </c>
      <c r="E2970" t="inlineStr">
        <is>
          <t>NORRKÖPING</t>
        </is>
      </c>
      <c r="G2970" t="n">
        <v>0.8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s="2" t="inlineStr"/>
    </row>
    <row r="2971" ht="15" customHeight="1">
      <c r="A2971" t="inlineStr">
        <is>
          <t>A 3742-2021</t>
        </is>
      </c>
      <c r="B2971" s="1" t="n">
        <v>44221</v>
      </c>
      <c r="C2971" s="1" t="n">
        <v>45211</v>
      </c>
      <c r="D2971" t="inlineStr">
        <is>
          <t>ÖSTERGÖTLANDS LÄN</t>
        </is>
      </c>
      <c r="E2971" t="inlineStr">
        <is>
          <t>LINKÖPING</t>
        </is>
      </c>
      <c r="G2971" t="n">
        <v>5.5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s="2" t="inlineStr"/>
    </row>
    <row r="2972" ht="15" customHeight="1">
      <c r="A2972" t="inlineStr">
        <is>
          <t>A 3762-2021</t>
        </is>
      </c>
      <c r="B2972" s="1" t="n">
        <v>44221</v>
      </c>
      <c r="C2972" s="1" t="n">
        <v>45211</v>
      </c>
      <c r="D2972" t="inlineStr">
        <is>
          <t>ÖSTERGÖTLANDS LÄN</t>
        </is>
      </c>
      <c r="E2972" t="inlineStr">
        <is>
          <t>FINSPÅNG</t>
        </is>
      </c>
      <c r="F2972" t="inlineStr">
        <is>
          <t>Naturvårdsverket</t>
        </is>
      </c>
      <c r="G2972" t="n">
        <v>0.9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s="2" t="inlineStr"/>
    </row>
    <row r="2973" ht="15" customHeight="1">
      <c r="A2973" t="inlineStr">
        <is>
          <t>A 3793-2021</t>
        </is>
      </c>
      <c r="B2973" s="1" t="n">
        <v>44221</v>
      </c>
      <c r="C2973" s="1" t="n">
        <v>45211</v>
      </c>
      <c r="D2973" t="inlineStr">
        <is>
          <t>ÖSTERGÖTLANDS LÄN</t>
        </is>
      </c>
      <c r="E2973" t="inlineStr">
        <is>
          <t>SÖDERKÖPING</t>
        </is>
      </c>
      <c r="F2973" t="inlineStr">
        <is>
          <t>Allmännings- och besparingsskogar</t>
        </is>
      </c>
      <c r="G2973" t="n">
        <v>11.7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s="2" t="inlineStr"/>
    </row>
    <row r="2974" ht="15" customHeight="1">
      <c r="A2974" t="inlineStr">
        <is>
          <t>A 3862-2021</t>
        </is>
      </c>
      <c r="B2974" s="1" t="n">
        <v>44221</v>
      </c>
      <c r="C2974" s="1" t="n">
        <v>45211</v>
      </c>
      <c r="D2974" t="inlineStr">
        <is>
          <t>ÖSTERGÖTLANDS LÄN</t>
        </is>
      </c>
      <c r="E2974" t="inlineStr">
        <is>
          <t>LINKÖPING</t>
        </is>
      </c>
      <c r="G2974" t="n">
        <v>1.6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s="2" t="inlineStr"/>
    </row>
    <row r="2975" ht="15" customHeight="1">
      <c r="A2975" t="inlineStr">
        <is>
          <t>A 3679-2021</t>
        </is>
      </c>
      <c r="B2975" s="1" t="n">
        <v>44221</v>
      </c>
      <c r="C2975" s="1" t="n">
        <v>45211</v>
      </c>
      <c r="D2975" t="inlineStr">
        <is>
          <t>ÖSTERGÖTLANDS LÄN</t>
        </is>
      </c>
      <c r="E2975" t="inlineStr">
        <is>
          <t>LINKÖPING</t>
        </is>
      </c>
      <c r="F2975" t="inlineStr">
        <is>
          <t>Övriga Aktiebolag</t>
        </is>
      </c>
      <c r="G2975" t="n">
        <v>1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s="2" t="inlineStr"/>
    </row>
    <row r="2976" ht="15" customHeight="1">
      <c r="A2976" t="inlineStr">
        <is>
          <t>A 4234-2021</t>
        </is>
      </c>
      <c r="B2976" s="1" t="n">
        <v>44221</v>
      </c>
      <c r="C2976" s="1" t="n">
        <v>45211</v>
      </c>
      <c r="D2976" t="inlineStr">
        <is>
          <t>ÖSTERGÖTLANDS LÄN</t>
        </is>
      </c>
      <c r="E2976" t="inlineStr">
        <is>
          <t>NORRKÖPING</t>
        </is>
      </c>
      <c r="G2976" t="n">
        <v>3.7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s="2" t="inlineStr"/>
    </row>
    <row r="2977" ht="15" customHeight="1">
      <c r="A2977" t="inlineStr">
        <is>
          <t>A 4271-2021</t>
        </is>
      </c>
      <c r="B2977" s="1" t="n">
        <v>44221</v>
      </c>
      <c r="C2977" s="1" t="n">
        <v>45211</v>
      </c>
      <c r="D2977" t="inlineStr">
        <is>
          <t>ÖSTERGÖTLANDS LÄN</t>
        </is>
      </c>
      <c r="E2977" t="inlineStr">
        <is>
          <t>NORRKÖPING</t>
        </is>
      </c>
      <c r="G2977" t="n">
        <v>2.3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s="2" t="inlineStr"/>
    </row>
    <row r="2978" ht="15" customHeight="1">
      <c r="A2978" t="inlineStr">
        <is>
          <t>A 4280-2021</t>
        </is>
      </c>
      <c r="B2978" s="1" t="n">
        <v>44221</v>
      </c>
      <c r="C2978" s="1" t="n">
        <v>45211</v>
      </c>
      <c r="D2978" t="inlineStr">
        <is>
          <t>ÖSTERGÖTLANDS LÄN</t>
        </is>
      </c>
      <c r="E2978" t="inlineStr">
        <is>
          <t>KINDA</t>
        </is>
      </c>
      <c r="G2978" t="n">
        <v>1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s="2" t="inlineStr"/>
    </row>
    <row r="2979" ht="15" customHeight="1">
      <c r="A2979" t="inlineStr">
        <is>
          <t>A 4020-2021</t>
        </is>
      </c>
      <c r="B2979" s="1" t="n">
        <v>44222</v>
      </c>
      <c r="C2979" s="1" t="n">
        <v>45211</v>
      </c>
      <c r="D2979" t="inlineStr">
        <is>
          <t>ÖSTERGÖTLANDS LÄN</t>
        </is>
      </c>
      <c r="E2979" t="inlineStr">
        <is>
          <t>VALDEMARSVIK</t>
        </is>
      </c>
      <c r="G2979" t="n">
        <v>0.8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s="2" t="inlineStr"/>
    </row>
    <row r="2980" ht="15" customHeight="1">
      <c r="A2980" t="inlineStr">
        <is>
          <t>A 4060-2021</t>
        </is>
      </c>
      <c r="B2980" s="1" t="n">
        <v>44222</v>
      </c>
      <c r="C2980" s="1" t="n">
        <v>45211</v>
      </c>
      <c r="D2980" t="inlineStr">
        <is>
          <t>ÖSTERGÖTLANDS LÄN</t>
        </is>
      </c>
      <c r="E2980" t="inlineStr">
        <is>
          <t>BOXHOLM</t>
        </is>
      </c>
      <c r="G2980" t="n">
        <v>0.2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s="2" t="inlineStr"/>
    </row>
    <row r="2981" ht="15" customHeight="1">
      <c r="A2981" t="inlineStr">
        <is>
          <t>A 3961-2021</t>
        </is>
      </c>
      <c r="B2981" s="1" t="n">
        <v>44222</v>
      </c>
      <c r="C2981" s="1" t="n">
        <v>45211</v>
      </c>
      <c r="D2981" t="inlineStr">
        <is>
          <t>ÖSTERGÖTLANDS LÄN</t>
        </is>
      </c>
      <c r="E2981" t="inlineStr">
        <is>
          <t>LINKÖPING</t>
        </is>
      </c>
      <c r="G2981" t="n">
        <v>3.9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s="2" t="inlineStr"/>
    </row>
    <row r="2982" ht="15" customHeight="1">
      <c r="A2982" t="inlineStr">
        <is>
          <t>A 4382-2021</t>
        </is>
      </c>
      <c r="B2982" s="1" t="n">
        <v>44223</v>
      </c>
      <c r="C2982" s="1" t="n">
        <v>45211</v>
      </c>
      <c r="D2982" t="inlineStr">
        <is>
          <t>ÖSTERGÖTLANDS LÄN</t>
        </is>
      </c>
      <c r="E2982" t="inlineStr">
        <is>
          <t>LINKÖPING</t>
        </is>
      </c>
      <c r="G2982" t="n">
        <v>4.2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s="2" t="inlineStr"/>
    </row>
    <row r="2983" ht="15" customHeight="1">
      <c r="A2983" t="inlineStr">
        <is>
          <t>A 4237-2021</t>
        </is>
      </c>
      <c r="B2983" s="1" t="n">
        <v>44223</v>
      </c>
      <c r="C2983" s="1" t="n">
        <v>45211</v>
      </c>
      <c r="D2983" t="inlineStr">
        <is>
          <t>ÖSTERGÖTLANDS LÄN</t>
        </is>
      </c>
      <c r="E2983" t="inlineStr">
        <is>
          <t>FINSPÅNG</t>
        </is>
      </c>
      <c r="G2983" t="n">
        <v>1.3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s="2" t="inlineStr"/>
    </row>
    <row r="2984" ht="15" customHeight="1">
      <c r="A2984" t="inlineStr">
        <is>
          <t>A 4326-2021</t>
        </is>
      </c>
      <c r="B2984" s="1" t="n">
        <v>44223</v>
      </c>
      <c r="C2984" s="1" t="n">
        <v>45211</v>
      </c>
      <c r="D2984" t="inlineStr">
        <is>
          <t>ÖSTERGÖTLANDS LÄN</t>
        </is>
      </c>
      <c r="E2984" t="inlineStr">
        <is>
          <t>KINDA</t>
        </is>
      </c>
      <c r="G2984" t="n">
        <v>1.4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s="2" t="inlineStr"/>
    </row>
    <row r="2985" ht="15" customHeight="1">
      <c r="A2985" t="inlineStr">
        <is>
          <t>A 4377-2021</t>
        </is>
      </c>
      <c r="B2985" s="1" t="n">
        <v>44223</v>
      </c>
      <c r="C2985" s="1" t="n">
        <v>45211</v>
      </c>
      <c r="D2985" t="inlineStr">
        <is>
          <t>ÖSTERGÖTLANDS LÄN</t>
        </is>
      </c>
      <c r="E2985" t="inlineStr">
        <is>
          <t>LINKÖPING</t>
        </is>
      </c>
      <c r="G2985" t="n">
        <v>1.3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s="2" t="inlineStr"/>
    </row>
    <row r="2986" ht="15" customHeight="1">
      <c r="A2986" t="inlineStr">
        <is>
          <t>A 4308-2021</t>
        </is>
      </c>
      <c r="B2986" s="1" t="n">
        <v>44223</v>
      </c>
      <c r="C2986" s="1" t="n">
        <v>45211</v>
      </c>
      <c r="D2986" t="inlineStr">
        <is>
          <t>ÖSTERGÖTLANDS LÄN</t>
        </is>
      </c>
      <c r="E2986" t="inlineStr">
        <is>
          <t>SÖDERKÖPING</t>
        </is>
      </c>
      <c r="G2986" t="n">
        <v>1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s="2" t="inlineStr"/>
    </row>
    <row r="2987" ht="15" customHeight="1">
      <c r="A2987" t="inlineStr">
        <is>
          <t>A 4331-2021</t>
        </is>
      </c>
      <c r="B2987" s="1" t="n">
        <v>44223</v>
      </c>
      <c r="C2987" s="1" t="n">
        <v>45211</v>
      </c>
      <c r="D2987" t="inlineStr">
        <is>
          <t>ÖSTERGÖTLANDS LÄN</t>
        </is>
      </c>
      <c r="E2987" t="inlineStr">
        <is>
          <t>KINDA</t>
        </is>
      </c>
      <c r="G2987" t="n">
        <v>0.6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s="2" t="inlineStr"/>
    </row>
    <row r="2988" ht="15" customHeight="1">
      <c r="A2988" t="inlineStr">
        <is>
          <t>A 4721-2021</t>
        </is>
      </c>
      <c r="B2988" s="1" t="n">
        <v>44225</v>
      </c>
      <c r="C2988" s="1" t="n">
        <v>45211</v>
      </c>
      <c r="D2988" t="inlineStr">
        <is>
          <t>ÖSTERGÖTLANDS LÄN</t>
        </is>
      </c>
      <c r="E2988" t="inlineStr">
        <is>
          <t>BOXHOLM</t>
        </is>
      </c>
      <c r="G2988" t="n">
        <v>4.2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s="2" t="inlineStr"/>
    </row>
    <row r="2989" ht="15" customHeight="1">
      <c r="A2989" t="inlineStr">
        <is>
          <t>A 4852-2021</t>
        </is>
      </c>
      <c r="B2989" s="1" t="n">
        <v>44225</v>
      </c>
      <c r="C2989" s="1" t="n">
        <v>45211</v>
      </c>
      <c r="D2989" t="inlineStr">
        <is>
          <t>ÖSTERGÖTLANDS LÄN</t>
        </is>
      </c>
      <c r="E2989" t="inlineStr">
        <is>
          <t>NORRKÖPING</t>
        </is>
      </c>
      <c r="F2989" t="inlineStr">
        <is>
          <t>Holmen skog AB</t>
        </is>
      </c>
      <c r="G2989" t="n">
        <v>0.9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s="2" t="inlineStr"/>
    </row>
    <row r="2990" ht="15" customHeight="1">
      <c r="A2990" t="inlineStr">
        <is>
          <t>A 4740-2021</t>
        </is>
      </c>
      <c r="B2990" s="1" t="n">
        <v>44225</v>
      </c>
      <c r="C2990" s="1" t="n">
        <v>45211</v>
      </c>
      <c r="D2990" t="inlineStr">
        <is>
          <t>ÖSTERGÖTLANDS LÄN</t>
        </is>
      </c>
      <c r="E2990" t="inlineStr">
        <is>
          <t>MJÖLBY</t>
        </is>
      </c>
      <c r="G2990" t="n">
        <v>1.9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s="2" t="inlineStr"/>
    </row>
    <row r="2991" ht="15" customHeight="1">
      <c r="A2991" t="inlineStr">
        <is>
          <t>A 4955-2021</t>
        </is>
      </c>
      <c r="B2991" s="1" t="n">
        <v>44228</v>
      </c>
      <c r="C2991" s="1" t="n">
        <v>45211</v>
      </c>
      <c r="D2991" t="inlineStr">
        <is>
          <t>ÖSTERGÖTLANDS LÄN</t>
        </is>
      </c>
      <c r="E2991" t="inlineStr">
        <is>
          <t>FINSPÅNG</t>
        </is>
      </c>
      <c r="G2991" t="n">
        <v>0.5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s="2" t="inlineStr"/>
    </row>
    <row r="2992" ht="15" customHeight="1">
      <c r="A2992" t="inlineStr">
        <is>
          <t>A 4971-2021</t>
        </is>
      </c>
      <c r="B2992" s="1" t="n">
        <v>44228</v>
      </c>
      <c r="C2992" s="1" t="n">
        <v>45211</v>
      </c>
      <c r="D2992" t="inlineStr">
        <is>
          <t>ÖSTERGÖTLANDS LÄN</t>
        </is>
      </c>
      <c r="E2992" t="inlineStr">
        <is>
          <t>MJÖLBY</t>
        </is>
      </c>
      <c r="G2992" t="n">
        <v>1.2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s="2" t="inlineStr"/>
    </row>
    <row r="2993" ht="15" customHeight="1">
      <c r="A2993" t="inlineStr">
        <is>
          <t>A 5008-2021</t>
        </is>
      </c>
      <c r="B2993" s="1" t="n">
        <v>44228</v>
      </c>
      <c r="C2993" s="1" t="n">
        <v>45211</v>
      </c>
      <c r="D2993" t="inlineStr">
        <is>
          <t>ÖSTERGÖTLANDS LÄN</t>
        </is>
      </c>
      <c r="E2993" t="inlineStr">
        <is>
          <t>LINKÖPING</t>
        </is>
      </c>
      <c r="F2993" t="inlineStr">
        <is>
          <t>Övriga Aktiebolag</t>
        </is>
      </c>
      <c r="G2993" t="n">
        <v>0.3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s="2" t="inlineStr"/>
    </row>
    <row r="2994" ht="15" customHeight="1">
      <c r="A2994" t="inlineStr">
        <is>
          <t>A 5142-2021</t>
        </is>
      </c>
      <c r="B2994" s="1" t="n">
        <v>44228</v>
      </c>
      <c r="C2994" s="1" t="n">
        <v>45211</v>
      </c>
      <c r="D2994" t="inlineStr">
        <is>
          <t>ÖSTERGÖTLANDS LÄN</t>
        </is>
      </c>
      <c r="E2994" t="inlineStr">
        <is>
          <t>MJÖLBY</t>
        </is>
      </c>
      <c r="G2994" t="n">
        <v>1.9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s="2" t="inlineStr"/>
    </row>
    <row r="2995" ht="15" customHeight="1">
      <c r="A2995" t="inlineStr">
        <is>
          <t>A 5512-2021</t>
        </is>
      </c>
      <c r="B2995" s="1" t="n">
        <v>44229</v>
      </c>
      <c r="C2995" s="1" t="n">
        <v>45211</v>
      </c>
      <c r="D2995" t="inlineStr">
        <is>
          <t>ÖSTERGÖTLANDS LÄN</t>
        </is>
      </c>
      <c r="E2995" t="inlineStr">
        <is>
          <t>MJÖLBY</t>
        </is>
      </c>
      <c r="G2995" t="n">
        <v>2.3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s="2" t="inlineStr"/>
    </row>
    <row r="2996" ht="15" customHeight="1">
      <c r="A2996" t="inlineStr">
        <is>
          <t>A 5290-2021</t>
        </is>
      </c>
      <c r="B2996" s="1" t="n">
        <v>44229</v>
      </c>
      <c r="C2996" s="1" t="n">
        <v>45211</v>
      </c>
      <c r="D2996" t="inlineStr">
        <is>
          <t>ÖSTERGÖTLANDS LÄN</t>
        </is>
      </c>
      <c r="E2996" t="inlineStr">
        <is>
          <t>LINKÖPING</t>
        </is>
      </c>
      <c r="G2996" t="n">
        <v>1.9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s="2" t="inlineStr"/>
    </row>
    <row r="2997" ht="15" customHeight="1">
      <c r="A2997" t="inlineStr">
        <is>
          <t>A 5314-2021</t>
        </is>
      </c>
      <c r="B2997" s="1" t="n">
        <v>44229</v>
      </c>
      <c r="C2997" s="1" t="n">
        <v>45211</v>
      </c>
      <c r="D2997" t="inlineStr">
        <is>
          <t>ÖSTERGÖTLANDS LÄN</t>
        </is>
      </c>
      <c r="E2997" t="inlineStr">
        <is>
          <t>LINKÖPING</t>
        </is>
      </c>
      <c r="G2997" t="n">
        <v>6.2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s="2" t="inlineStr"/>
    </row>
    <row r="2998" ht="15" customHeight="1">
      <c r="A2998" t="inlineStr">
        <is>
          <t>A 5534-2021</t>
        </is>
      </c>
      <c r="B2998" s="1" t="n">
        <v>44230</v>
      </c>
      <c r="C2998" s="1" t="n">
        <v>45211</v>
      </c>
      <c r="D2998" t="inlineStr">
        <is>
          <t>ÖSTERGÖTLANDS LÄN</t>
        </is>
      </c>
      <c r="E2998" t="inlineStr">
        <is>
          <t>FINSPÅNG</t>
        </is>
      </c>
      <c r="G2998" t="n">
        <v>0.8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s="2" t="inlineStr"/>
    </row>
    <row r="2999" ht="15" customHeight="1">
      <c r="A2999" t="inlineStr">
        <is>
          <t>A 5549-2021</t>
        </is>
      </c>
      <c r="B2999" s="1" t="n">
        <v>44230</v>
      </c>
      <c r="C2999" s="1" t="n">
        <v>45211</v>
      </c>
      <c r="D2999" t="inlineStr">
        <is>
          <t>ÖSTERGÖTLANDS LÄN</t>
        </is>
      </c>
      <c r="E2999" t="inlineStr">
        <is>
          <t>ÅTVIDABERG</t>
        </is>
      </c>
      <c r="G2999" t="n">
        <v>2.2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s="2" t="inlineStr"/>
    </row>
    <row r="3000" ht="15" customHeight="1">
      <c r="A3000" t="inlineStr">
        <is>
          <t>A 5832-2021</t>
        </is>
      </c>
      <c r="B3000" s="1" t="n">
        <v>44231</v>
      </c>
      <c r="C3000" s="1" t="n">
        <v>45211</v>
      </c>
      <c r="D3000" t="inlineStr">
        <is>
          <t>ÖSTERGÖTLANDS LÄN</t>
        </is>
      </c>
      <c r="E3000" t="inlineStr">
        <is>
          <t>ÖDESHÖG</t>
        </is>
      </c>
      <c r="G3000" t="n">
        <v>2.8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s="2" t="inlineStr"/>
    </row>
    <row r="3001" ht="15" customHeight="1">
      <c r="A3001" t="inlineStr">
        <is>
          <t>A 6314-2021</t>
        </is>
      </c>
      <c r="B3001" s="1" t="n">
        <v>44232</v>
      </c>
      <c r="C3001" s="1" t="n">
        <v>45211</v>
      </c>
      <c r="D3001" t="inlineStr">
        <is>
          <t>ÖSTERGÖTLANDS LÄN</t>
        </is>
      </c>
      <c r="E3001" t="inlineStr">
        <is>
          <t>ÅTVIDABERG</t>
        </is>
      </c>
      <c r="G3001" t="n">
        <v>1.3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s="2" t="inlineStr"/>
    </row>
    <row r="3002" ht="15" customHeight="1">
      <c r="A3002" t="inlineStr">
        <is>
          <t>A 6342-2021</t>
        </is>
      </c>
      <c r="B3002" s="1" t="n">
        <v>44232</v>
      </c>
      <c r="C3002" s="1" t="n">
        <v>45211</v>
      </c>
      <c r="D3002" t="inlineStr">
        <is>
          <t>ÖSTERGÖTLANDS LÄN</t>
        </is>
      </c>
      <c r="E3002" t="inlineStr">
        <is>
          <t>ÅTVIDABERG</t>
        </is>
      </c>
      <c r="F3002" t="inlineStr">
        <is>
          <t>Övriga Aktiebolag</t>
        </is>
      </c>
      <c r="G3002" t="n">
        <v>1.7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s="2" t="inlineStr"/>
    </row>
    <row r="3003" ht="15" customHeight="1">
      <c r="A3003" t="inlineStr">
        <is>
          <t>A 6337-2021</t>
        </is>
      </c>
      <c r="B3003" s="1" t="n">
        <v>44232</v>
      </c>
      <c r="C3003" s="1" t="n">
        <v>45211</v>
      </c>
      <c r="D3003" t="inlineStr">
        <is>
          <t>ÖSTERGÖTLANDS LÄN</t>
        </is>
      </c>
      <c r="E3003" t="inlineStr">
        <is>
          <t>ÅTVIDABERG</t>
        </is>
      </c>
      <c r="F3003" t="inlineStr">
        <is>
          <t>Övriga Aktiebolag</t>
        </is>
      </c>
      <c r="G3003" t="n">
        <v>8.5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s="2" t="inlineStr"/>
    </row>
    <row r="3004" ht="15" customHeight="1">
      <c r="A3004" t="inlineStr">
        <is>
          <t>A 6647-2021</t>
        </is>
      </c>
      <c r="B3004" s="1" t="n">
        <v>44236</v>
      </c>
      <c r="C3004" s="1" t="n">
        <v>45211</v>
      </c>
      <c r="D3004" t="inlineStr">
        <is>
          <t>ÖSTERGÖTLANDS LÄN</t>
        </is>
      </c>
      <c r="E3004" t="inlineStr">
        <is>
          <t>KINDA</t>
        </is>
      </c>
      <c r="G3004" t="n">
        <v>1.1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s="2" t="inlineStr"/>
    </row>
    <row r="3005" ht="15" customHeight="1">
      <c r="A3005" t="inlineStr">
        <is>
          <t>A 6614-2021</t>
        </is>
      </c>
      <c r="B3005" s="1" t="n">
        <v>44236</v>
      </c>
      <c r="C3005" s="1" t="n">
        <v>45211</v>
      </c>
      <c r="D3005" t="inlineStr">
        <is>
          <t>ÖSTERGÖTLANDS LÄN</t>
        </is>
      </c>
      <c r="E3005" t="inlineStr">
        <is>
          <t>NORRKÖPING</t>
        </is>
      </c>
      <c r="F3005" t="inlineStr">
        <is>
          <t>Holmen skog AB</t>
        </is>
      </c>
      <c r="G3005" t="n">
        <v>0.5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s="2" t="inlineStr"/>
    </row>
    <row r="3006" ht="15" customHeight="1">
      <c r="A3006" t="inlineStr">
        <is>
          <t>A 6680-2021</t>
        </is>
      </c>
      <c r="B3006" s="1" t="n">
        <v>44236</v>
      </c>
      <c r="C3006" s="1" t="n">
        <v>45211</v>
      </c>
      <c r="D3006" t="inlineStr">
        <is>
          <t>ÖSTERGÖTLANDS LÄN</t>
        </is>
      </c>
      <c r="E3006" t="inlineStr">
        <is>
          <t>ÅTVIDABERG</t>
        </is>
      </c>
      <c r="G3006" t="n">
        <v>4.7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s="2" t="inlineStr"/>
    </row>
    <row r="3007" ht="15" customHeight="1">
      <c r="A3007" t="inlineStr">
        <is>
          <t>A 6894-2021</t>
        </is>
      </c>
      <c r="B3007" s="1" t="n">
        <v>44237</v>
      </c>
      <c r="C3007" s="1" t="n">
        <v>45211</v>
      </c>
      <c r="D3007" t="inlineStr">
        <is>
          <t>ÖSTERGÖTLANDS LÄN</t>
        </is>
      </c>
      <c r="E3007" t="inlineStr">
        <is>
          <t>BOXHOLM</t>
        </is>
      </c>
      <c r="G3007" t="n">
        <v>1.2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s="2" t="inlineStr"/>
    </row>
    <row r="3008" ht="15" customHeight="1">
      <c r="A3008" t="inlineStr">
        <is>
          <t>A 6844-2021</t>
        </is>
      </c>
      <c r="B3008" s="1" t="n">
        <v>44237</v>
      </c>
      <c r="C3008" s="1" t="n">
        <v>45211</v>
      </c>
      <c r="D3008" t="inlineStr">
        <is>
          <t>ÖSTERGÖTLANDS LÄN</t>
        </is>
      </c>
      <c r="E3008" t="inlineStr">
        <is>
          <t>NORRKÖPING</t>
        </is>
      </c>
      <c r="F3008" t="inlineStr">
        <is>
          <t>Holmen skog AB</t>
        </is>
      </c>
      <c r="G3008" t="n">
        <v>0.5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s="2" t="inlineStr"/>
    </row>
    <row r="3009" ht="15" customHeight="1">
      <c r="A3009" t="inlineStr">
        <is>
          <t>A 6921-2021</t>
        </is>
      </c>
      <c r="B3009" s="1" t="n">
        <v>44237</v>
      </c>
      <c r="C3009" s="1" t="n">
        <v>45211</v>
      </c>
      <c r="D3009" t="inlineStr">
        <is>
          <t>ÖSTERGÖTLANDS LÄN</t>
        </is>
      </c>
      <c r="E3009" t="inlineStr">
        <is>
          <t>MJÖLBY</t>
        </is>
      </c>
      <c r="G3009" t="n">
        <v>27.5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s="2" t="inlineStr"/>
    </row>
    <row r="3010" ht="15" customHeight="1">
      <c r="A3010" t="inlineStr">
        <is>
          <t>A 6958-2021</t>
        </is>
      </c>
      <c r="B3010" s="1" t="n">
        <v>44237</v>
      </c>
      <c r="C3010" s="1" t="n">
        <v>45211</v>
      </c>
      <c r="D3010" t="inlineStr">
        <is>
          <t>ÖSTERGÖTLANDS LÄN</t>
        </is>
      </c>
      <c r="E3010" t="inlineStr">
        <is>
          <t>LINKÖPING</t>
        </is>
      </c>
      <c r="G3010" t="n">
        <v>0.6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s="2" t="inlineStr"/>
    </row>
    <row r="3011" ht="15" customHeight="1">
      <c r="A3011" t="inlineStr">
        <is>
          <t>A 6833-2021</t>
        </is>
      </c>
      <c r="B3011" s="1" t="n">
        <v>44237</v>
      </c>
      <c r="C3011" s="1" t="n">
        <v>45211</v>
      </c>
      <c r="D3011" t="inlineStr">
        <is>
          <t>ÖSTERGÖTLANDS LÄN</t>
        </is>
      </c>
      <c r="E3011" t="inlineStr">
        <is>
          <t>NORRKÖPING</t>
        </is>
      </c>
      <c r="G3011" t="n">
        <v>0.5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s="2" t="inlineStr"/>
    </row>
    <row r="3012" ht="15" customHeight="1">
      <c r="A3012" t="inlineStr">
        <is>
          <t>A 6957-2021</t>
        </is>
      </c>
      <c r="B3012" s="1" t="n">
        <v>44237</v>
      </c>
      <c r="C3012" s="1" t="n">
        <v>45211</v>
      </c>
      <c r="D3012" t="inlineStr">
        <is>
          <t>ÖSTERGÖTLANDS LÄN</t>
        </is>
      </c>
      <c r="E3012" t="inlineStr">
        <is>
          <t>LINKÖPING</t>
        </is>
      </c>
      <c r="G3012" t="n">
        <v>4.1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s="2" t="inlineStr"/>
    </row>
    <row r="3013" ht="15" customHeight="1">
      <c r="A3013" t="inlineStr">
        <is>
          <t>A 7204-2021</t>
        </is>
      </c>
      <c r="B3013" s="1" t="n">
        <v>44238</v>
      </c>
      <c r="C3013" s="1" t="n">
        <v>45211</v>
      </c>
      <c r="D3013" t="inlineStr">
        <is>
          <t>ÖSTERGÖTLANDS LÄN</t>
        </is>
      </c>
      <c r="E3013" t="inlineStr">
        <is>
          <t>ÅTVIDABERG</t>
        </is>
      </c>
      <c r="G3013" t="n">
        <v>1.3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s="2" t="inlineStr"/>
    </row>
    <row r="3014" ht="15" customHeight="1">
      <c r="A3014" t="inlineStr">
        <is>
          <t>A 7203-2021</t>
        </is>
      </c>
      <c r="B3014" s="1" t="n">
        <v>44238</v>
      </c>
      <c r="C3014" s="1" t="n">
        <v>45211</v>
      </c>
      <c r="D3014" t="inlineStr">
        <is>
          <t>ÖSTERGÖTLANDS LÄN</t>
        </is>
      </c>
      <c r="E3014" t="inlineStr">
        <is>
          <t>ÅTVIDABERG</t>
        </is>
      </c>
      <c r="G3014" t="n">
        <v>2.6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s="2" t="inlineStr"/>
    </row>
    <row r="3015" ht="15" customHeight="1">
      <c r="A3015" t="inlineStr">
        <is>
          <t>A 7289-2021</t>
        </is>
      </c>
      <c r="B3015" s="1" t="n">
        <v>44238</v>
      </c>
      <c r="C3015" s="1" t="n">
        <v>45211</v>
      </c>
      <c r="D3015" t="inlineStr">
        <is>
          <t>ÖSTERGÖTLANDS LÄN</t>
        </is>
      </c>
      <c r="E3015" t="inlineStr">
        <is>
          <t>LINKÖPING</t>
        </is>
      </c>
      <c r="G3015" t="n">
        <v>0.7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s="2" t="inlineStr"/>
    </row>
    <row r="3016" ht="15" customHeight="1">
      <c r="A3016" t="inlineStr">
        <is>
          <t>A 7242-2021</t>
        </is>
      </c>
      <c r="B3016" s="1" t="n">
        <v>44238</v>
      </c>
      <c r="C3016" s="1" t="n">
        <v>45211</v>
      </c>
      <c r="D3016" t="inlineStr">
        <is>
          <t>ÖSTERGÖTLANDS LÄN</t>
        </is>
      </c>
      <c r="E3016" t="inlineStr">
        <is>
          <t>FINSPÅNG</t>
        </is>
      </c>
      <c r="F3016" t="inlineStr">
        <is>
          <t>Holmen skog AB</t>
        </is>
      </c>
      <c r="G3016" t="n">
        <v>1.2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s="2" t="inlineStr"/>
    </row>
    <row r="3017" ht="15" customHeight="1">
      <c r="A3017" t="inlineStr">
        <is>
          <t>A 7713-2021</t>
        </is>
      </c>
      <c r="B3017" s="1" t="n">
        <v>44239</v>
      </c>
      <c r="C3017" s="1" t="n">
        <v>45211</v>
      </c>
      <c r="D3017" t="inlineStr">
        <is>
          <t>ÖSTERGÖTLANDS LÄN</t>
        </is>
      </c>
      <c r="E3017" t="inlineStr">
        <is>
          <t>KINDA</t>
        </is>
      </c>
      <c r="G3017" t="n">
        <v>1.9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s="2" t="inlineStr"/>
    </row>
    <row r="3018" ht="15" customHeight="1">
      <c r="A3018" t="inlineStr">
        <is>
          <t>A 7543-2021</t>
        </is>
      </c>
      <c r="B3018" s="1" t="n">
        <v>44239</v>
      </c>
      <c r="C3018" s="1" t="n">
        <v>45211</v>
      </c>
      <c r="D3018" t="inlineStr">
        <is>
          <t>ÖSTERGÖTLANDS LÄN</t>
        </is>
      </c>
      <c r="E3018" t="inlineStr">
        <is>
          <t>FINSPÅNG</t>
        </is>
      </c>
      <c r="F3018" t="inlineStr">
        <is>
          <t>Holmen skog AB</t>
        </is>
      </c>
      <c r="G3018" t="n">
        <v>0.8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s="2" t="inlineStr"/>
    </row>
    <row r="3019" ht="15" customHeight="1">
      <c r="A3019" t="inlineStr">
        <is>
          <t>A 7649-2021</t>
        </is>
      </c>
      <c r="B3019" s="1" t="n">
        <v>44242</v>
      </c>
      <c r="C3019" s="1" t="n">
        <v>45211</v>
      </c>
      <c r="D3019" t="inlineStr">
        <is>
          <t>ÖSTERGÖTLANDS LÄN</t>
        </is>
      </c>
      <c r="E3019" t="inlineStr">
        <is>
          <t>MJÖLBY</t>
        </is>
      </c>
      <c r="G3019" t="n">
        <v>0.7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s="2" t="inlineStr"/>
    </row>
    <row r="3020" ht="15" customHeight="1">
      <c r="A3020" t="inlineStr">
        <is>
          <t>A 7608-2021</t>
        </is>
      </c>
      <c r="B3020" s="1" t="n">
        <v>44242</v>
      </c>
      <c r="C3020" s="1" t="n">
        <v>45211</v>
      </c>
      <c r="D3020" t="inlineStr">
        <is>
          <t>ÖSTERGÖTLANDS LÄN</t>
        </is>
      </c>
      <c r="E3020" t="inlineStr">
        <is>
          <t>MOTALA</t>
        </is>
      </c>
      <c r="G3020" t="n">
        <v>2.2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s="2" t="inlineStr"/>
    </row>
    <row r="3021" ht="15" customHeight="1">
      <c r="A3021" t="inlineStr">
        <is>
          <t>A 7864-2021</t>
        </is>
      </c>
      <c r="B3021" s="1" t="n">
        <v>44242</v>
      </c>
      <c r="C3021" s="1" t="n">
        <v>45211</v>
      </c>
      <c r="D3021" t="inlineStr">
        <is>
          <t>ÖSTERGÖTLANDS LÄN</t>
        </is>
      </c>
      <c r="E3021" t="inlineStr">
        <is>
          <t>SÖDERKÖPING</t>
        </is>
      </c>
      <c r="G3021" t="n">
        <v>3.3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s="2" t="inlineStr"/>
    </row>
    <row r="3022" ht="15" customHeight="1">
      <c r="A3022" t="inlineStr">
        <is>
          <t>A 7835-2021</t>
        </is>
      </c>
      <c r="B3022" s="1" t="n">
        <v>44242</v>
      </c>
      <c r="C3022" s="1" t="n">
        <v>45211</v>
      </c>
      <c r="D3022" t="inlineStr">
        <is>
          <t>ÖSTERGÖTLANDS LÄN</t>
        </is>
      </c>
      <c r="E3022" t="inlineStr">
        <is>
          <t>KINDA</t>
        </is>
      </c>
      <c r="G3022" t="n">
        <v>1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s="2" t="inlineStr"/>
    </row>
    <row r="3023" ht="15" customHeight="1">
      <c r="A3023" t="inlineStr">
        <is>
          <t>A 7854-2021</t>
        </is>
      </c>
      <c r="B3023" s="1" t="n">
        <v>44242</v>
      </c>
      <c r="C3023" s="1" t="n">
        <v>45211</v>
      </c>
      <c r="D3023" t="inlineStr">
        <is>
          <t>ÖSTERGÖTLANDS LÄN</t>
        </is>
      </c>
      <c r="E3023" t="inlineStr">
        <is>
          <t>ÖDESHÖG</t>
        </is>
      </c>
      <c r="G3023" t="n">
        <v>0.6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s="2" t="inlineStr"/>
    </row>
    <row r="3024" ht="15" customHeight="1">
      <c r="A3024" t="inlineStr">
        <is>
          <t>A 7848-2021</t>
        </is>
      </c>
      <c r="B3024" s="1" t="n">
        <v>44242</v>
      </c>
      <c r="C3024" s="1" t="n">
        <v>45211</v>
      </c>
      <c r="D3024" t="inlineStr">
        <is>
          <t>ÖSTERGÖTLANDS LÄN</t>
        </is>
      </c>
      <c r="E3024" t="inlineStr">
        <is>
          <t>ÖDESHÖG</t>
        </is>
      </c>
      <c r="G3024" t="n">
        <v>0.8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s="2" t="inlineStr"/>
    </row>
    <row r="3025" ht="15" customHeight="1">
      <c r="A3025" t="inlineStr">
        <is>
          <t>A 8021-2021</t>
        </is>
      </c>
      <c r="B3025" s="1" t="n">
        <v>44243</v>
      </c>
      <c r="C3025" s="1" t="n">
        <v>45211</v>
      </c>
      <c r="D3025" t="inlineStr">
        <is>
          <t>ÖSTERGÖTLANDS LÄN</t>
        </is>
      </c>
      <c r="E3025" t="inlineStr">
        <is>
          <t>MJÖLBY</t>
        </is>
      </c>
      <c r="F3025" t="inlineStr">
        <is>
          <t>Kommuner</t>
        </is>
      </c>
      <c r="G3025" t="n">
        <v>2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s="2" t="inlineStr"/>
    </row>
    <row r="3026" ht="15" customHeight="1">
      <c r="A3026" t="inlineStr">
        <is>
          <t>A 7918-2021</t>
        </is>
      </c>
      <c r="B3026" s="1" t="n">
        <v>44243</v>
      </c>
      <c r="C3026" s="1" t="n">
        <v>45211</v>
      </c>
      <c r="D3026" t="inlineStr">
        <is>
          <t>ÖSTERGÖTLANDS LÄN</t>
        </is>
      </c>
      <c r="E3026" t="inlineStr">
        <is>
          <t>NORRKÖPING</t>
        </is>
      </c>
      <c r="G3026" t="n">
        <v>5.9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s="2" t="inlineStr"/>
    </row>
    <row r="3027" ht="15" customHeight="1">
      <c r="A3027" t="inlineStr">
        <is>
          <t>A 7997-2021</t>
        </is>
      </c>
      <c r="B3027" s="1" t="n">
        <v>44243</v>
      </c>
      <c r="C3027" s="1" t="n">
        <v>45211</v>
      </c>
      <c r="D3027" t="inlineStr">
        <is>
          <t>ÖSTERGÖTLANDS LÄN</t>
        </is>
      </c>
      <c r="E3027" t="inlineStr">
        <is>
          <t>KINDA</t>
        </is>
      </c>
      <c r="G3027" t="n">
        <v>1.8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s="2" t="inlineStr"/>
    </row>
    <row r="3028" ht="15" customHeight="1">
      <c r="A3028" t="inlineStr">
        <is>
          <t>A 7947-2021</t>
        </is>
      </c>
      <c r="B3028" s="1" t="n">
        <v>44243</v>
      </c>
      <c r="C3028" s="1" t="n">
        <v>45211</v>
      </c>
      <c r="D3028" t="inlineStr">
        <is>
          <t>ÖSTERGÖTLANDS LÄN</t>
        </is>
      </c>
      <c r="E3028" t="inlineStr">
        <is>
          <t>FINSPÅNG</t>
        </is>
      </c>
      <c r="G3028" t="n">
        <v>8.5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s="2" t="inlineStr"/>
    </row>
    <row r="3029" ht="15" customHeight="1">
      <c r="A3029" t="inlineStr">
        <is>
          <t>A 8024-2021</t>
        </is>
      </c>
      <c r="B3029" s="1" t="n">
        <v>44243</v>
      </c>
      <c r="C3029" s="1" t="n">
        <v>45211</v>
      </c>
      <c r="D3029" t="inlineStr">
        <is>
          <t>ÖSTERGÖTLANDS LÄN</t>
        </is>
      </c>
      <c r="E3029" t="inlineStr">
        <is>
          <t>MJÖLBY</t>
        </is>
      </c>
      <c r="F3029" t="inlineStr">
        <is>
          <t>Kommuner</t>
        </is>
      </c>
      <c r="G3029" t="n">
        <v>2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s="2" t="inlineStr"/>
    </row>
    <row r="3030" ht="15" customHeight="1">
      <c r="A3030" t="inlineStr">
        <is>
          <t>A 8300-2021</t>
        </is>
      </c>
      <c r="B3030" s="1" t="n">
        <v>44244</v>
      </c>
      <c r="C3030" s="1" t="n">
        <v>45211</v>
      </c>
      <c r="D3030" t="inlineStr">
        <is>
          <t>ÖSTERGÖTLANDS LÄN</t>
        </is>
      </c>
      <c r="E3030" t="inlineStr">
        <is>
          <t>FINSPÅNG</t>
        </is>
      </c>
      <c r="F3030" t="inlineStr">
        <is>
          <t>Naturvårdsverket</t>
        </is>
      </c>
      <c r="G3030" t="n">
        <v>0.9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s="2" t="inlineStr"/>
    </row>
    <row r="3031" ht="15" customHeight="1">
      <c r="A3031" t="inlineStr">
        <is>
          <t>A 8238-2021</t>
        </is>
      </c>
      <c r="B3031" s="1" t="n">
        <v>44244</v>
      </c>
      <c r="C3031" s="1" t="n">
        <v>45211</v>
      </c>
      <c r="D3031" t="inlineStr">
        <is>
          <t>ÖSTERGÖTLANDS LÄN</t>
        </is>
      </c>
      <c r="E3031" t="inlineStr">
        <is>
          <t>VALDEMARSVIK</t>
        </is>
      </c>
      <c r="G3031" t="n">
        <v>1.3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s="2" t="inlineStr"/>
    </row>
    <row r="3032" ht="15" customHeight="1">
      <c r="A3032" t="inlineStr">
        <is>
          <t>A 8303-2021</t>
        </is>
      </c>
      <c r="B3032" s="1" t="n">
        <v>44244</v>
      </c>
      <c r="C3032" s="1" t="n">
        <v>45211</v>
      </c>
      <c r="D3032" t="inlineStr">
        <is>
          <t>ÖSTERGÖTLANDS LÄN</t>
        </is>
      </c>
      <c r="E3032" t="inlineStr">
        <is>
          <t>KINDA</t>
        </is>
      </c>
      <c r="G3032" t="n">
        <v>0.9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s="2" t="inlineStr"/>
    </row>
    <row r="3033" ht="15" customHeight="1">
      <c r="A3033" t="inlineStr">
        <is>
          <t>A 8370-2021</t>
        </is>
      </c>
      <c r="B3033" s="1" t="n">
        <v>44245</v>
      </c>
      <c r="C3033" s="1" t="n">
        <v>45211</v>
      </c>
      <c r="D3033" t="inlineStr">
        <is>
          <t>ÖSTERGÖTLANDS LÄN</t>
        </is>
      </c>
      <c r="E3033" t="inlineStr">
        <is>
          <t>SÖDERKÖPING</t>
        </is>
      </c>
      <c r="G3033" t="n">
        <v>0.7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s="2" t="inlineStr"/>
    </row>
    <row r="3034" ht="15" customHeight="1">
      <c r="A3034" t="inlineStr">
        <is>
          <t>A 8373-2021</t>
        </is>
      </c>
      <c r="B3034" s="1" t="n">
        <v>44245</v>
      </c>
      <c r="C3034" s="1" t="n">
        <v>45211</v>
      </c>
      <c r="D3034" t="inlineStr">
        <is>
          <t>ÖSTERGÖTLANDS LÄN</t>
        </is>
      </c>
      <c r="E3034" t="inlineStr">
        <is>
          <t>MOTALA</t>
        </is>
      </c>
      <c r="G3034" t="n">
        <v>1.1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s="2" t="inlineStr"/>
    </row>
    <row r="3035" ht="15" customHeight="1">
      <c r="A3035" t="inlineStr">
        <is>
          <t>A 8554-2021</t>
        </is>
      </c>
      <c r="B3035" s="1" t="n">
        <v>44245</v>
      </c>
      <c r="C3035" s="1" t="n">
        <v>45211</v>
      </c>
      <c r="D3035" t="inlineStr">
        <is>
          <t>ÖSTERGÖTLANDS LÄN</t>
        </is>
      </c>
      <c r="E3035" t="inlineStr">
        <is>
          <t>FINSPÅNG</t>
        </is>
      </c>
      <c r="G3035" t="n">
        <v>6.2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s="2" t="inlineStr"/>
    </row>
    <row r="3036" ht="15" customHeight="1">
      <c r="A3036" t="inlineStr">
        <is>
          <t>A 8369-2021</t>
        </is>
      </c>
      <c r="B3036" s="1" t="n">
        <v>44245</v>
      </c>
      <c r="C3036" s="1" t="n">
        <v>45211</v>
      </c>
      <c r="D3036" t="inlineStr">
        <is>
          <t>ÖSTERGÖTLANDS LÄN</t>
        </is>
      </c>
      <c r="E3036" t="inlineStr">
        <is>
          <t>SÖDERKÖPING</t>
        </is>
      </c>
      <c r="G3036" t="n">
        <v>5.4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s="2" t="inlineStr"/>
    </row>
    <row r="3037" ht="15" customHeight="1">
      <c r="A3037" t="inlineStr">
        <is>
          <t>A 8583-2021</t>
        </is>
      </c>
      <c r="B3037" s="1" t="n">
        <v>44245</v>
      </c>
      <c r="C3037" s="1" t="n">
        <v>45211</v>
      </c>
      <c r="D3037" t="inlineStr">
        <is>
          <t>ÖSTERGÖTLANDS LÄN</t>
        </is>
      </c>
      <c r="E3037" t="inlineStr">
        <is>
          <t>SÖDERKÖPING</t>
        </is>
      </c>
      <c r="G3037" t="n">
        <v>2.1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s="2" t="inlineStr"/>
    </row>
    <row r="3038" ht="15" customHeight="1">
      <c r="A3038" t="inlineStr">
        <is>
          <t>A 8688-2021</t>
        </is>
      </c>
      <c r="B3038" s="1" t="n">
        <v>44246</v>
      </c>
      <c r="C3038" s="1" t="n">
        <v>45211</v>
      </c>
      <c r="D3038" t="inlineStr">
        <is>
          <t>ÖSTERGÖTLANDS LÄN</t>
        </is>
      </c>
      <c r="E3038" t="inlineStr">
        <is>
          <t>FINSPÅNG</t>
        </is>
      </c>
      <c r="F3038" t="inlineStr">
        <is>
          <t>Holmen skog AB</t>
        </is>
      </c>
      <c r="G3038" t="n">
        <v>0.5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s="2" t="inlineStr"/>
    </row>
    <row r="3039" ht="15" customHeight="1">
      <c r="A3039" t="inlineStr">
        <is>
          <t>A 8703-2021</t>
        </is>
      </c>
      <c r="B3039" s="1" t="n">
        <v>44246</v>
      </c>
      <c r="C3039" s="1" t="n">
        <v>45211</v>
      </c>
      <c r="D3039" t="inlineStr">
        <is>
          <t>ÖSTERGÖTLANDS LÄN</t>
        </is>
      </c>
      <c r="E3039" t="inlineStr">
        <is>
          <t>FINSPÅNG</t>
        </is>
      </c>
      <c r="F3039" t="inlineStr">
        <is>
          <t>Holmen skog AB</t>
        </is>
      </c>
      <c r="G3039" t="n">
        <v>0.5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s="2" t="inlineStr"/>
    </row>
    <row r="3040" ht="15" customHeight="1">
      <c r="A3040" t="inlineStr">
        <is>
          <t>A 9148-2021</t>
        </is>
      </c>
      <c r="B3040" s="1" t="n">
        <v>44249</v>
      </c>
      <c r="C3040" s="1" t="n">
        <v>45211</v>
      </c>
      <c r="D3040" t="inlineStr">
        <is>
          <t>ÖSTERGÖTLANDS LÄN</t>
        </is>
      </c>
      <c r="E3040" t="inlineStr">
        <is>
          <t>FINSPÅNG</t>
        </is>
      </c>
      <c r="F3040" t="inlineStr">
        <is>
          <t>Övriga Aktiebolag</t>
        </is>
      </c>
      <c r="G3040" t="n">
        <v>0.6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s="2" t="inlineStr"/>
    </row>
    <row r="3041" ht="15" customHeight="1">
      <c r="A3041" t="inlineStr">
        <is>
          <t>A 9281-2021</t>
        </is>
      </c>
      <c r="B3041" s="1" t="n">
        <v>44249</v>
      </c>
      <c r="C3041" s="1" t="n">
        <v>45211</v>
      </c>
      <c r="D3041" t="inlineStr">
        <is>
          <t>ÖSTERGÖTLANDS LÄN</t>
        </is>
      </c>
      <c r="E3041" t="inlineStr">
        <is>
          <t>NORRKÖPING</t>
        </is>
      </c>
      <c r="G3041" t="n">
        <v>7.7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s="2" t="inlineStr"/>
    </row>
    <row r="3042" ht="15" customHeight="1">
      <c r="A3042" t="inlineStr">
        <is>
          <t>A 9079-2021</t>
        </is>
      </c>
      <c r="B3042" s="1" t="n">
        <v>44249</v>
      </c>
      <c r="C3042" s="1" t="n">
        <v>45211</v>
      </c>
      <c r="D3042" t="inlineStr">
        <is>
          <t>ÖSTERGÖTLANDS LÄN</t>
        </is>
      </c>
      <c r="E3042" t="inlineStr">
        <is>
          <t>FINSPÅNG</t>
        </is>
      </c>
      <c r="F3042" t="inlineStr">
        <is>
          <t>Holmen skog AB</t>
        </is>
      </c>
      <c r="G3042" t="n">
        <v>1.6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s="2" t="inlineStr"/>
    </row>
    <row r="3043" ht="15" customHeight="1">
      <c r="A3043" t="inlineStr">
        <is>
          <t>A 9159-2021</t>
        </is>
      </c>
      <c r="B3043" s="1" t="n">
        <v>44249</v>
      </c>
      <c r="C3043" s="1" t="n">
        <v>45211</v>
      </c>
      <c r="D3043" t="inlineStr">
        <is>
          <t>ÖSTERGÖTLANDS LÄN</t>
        </is>
      </c>
      <c r="E3043" t="inlineStr">
        <is>
          <t>FINSPÅNG</t>
        </is>
      </c>
      <c r="F3043" t="inlineStr">
        <is>
          <t>Övriga Aktiebolag</t>
        </is>
      </c>
      <c r="G3043" t="n">
        <v>1.3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s="2" t="inlineStr"/>
    </row>
    <row r="3044" ht="15" customHeight="1">
      <c r="A3044" t="inlineStr">
        <is>
          <t>A 9278-2021</t>
        </is>
      </c>
      <c r="B3044" s="1" t="n">
        <v>44249</v>
      </c>
      <c r="C3044" s="1" t="n">
        <v>45211</v>
      </c>
      <c r="D3044" t="inlineStr">
        <is>
          <t>ÖSTERGÖTLANDS LÄN</t>
        </is>
      </c>
      <c r="E3044" t="inlineStr">
        <is>
          <t>NORRKÖPING</t>
        </is>
      </c>
      <c r="G3044" t="n">
        <v>1.4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s="2" t="inlineStr"/>
    </row>
    <row r="3045" ht="15" customHeight="1">
      <c r="A3045" t="inlineStr">
        <is>
          <t>A 9082-2021</t>
        </is>
      </c>
      <c r="B3045" s="1" t="n">
        <v>44249</v>
      </c>
      <c r="C3045" s="1" t="n">
        <v>45211</v>
      </c>
      <c r="D3045" t="inlineStr">
        <is>
          <t>ÖSTERGÖTLANDS LÄN</t>
        </is>
      </c>
      <c r="E3045" t="inlineStr">
        <is>
          <t>BOXHOLM</t>
        </is>
      </c>
      <c r="F3045" t="inlineStr">
        <is>
          <t>Allmännings- och besparingsskogar</t>
        </is>
      </c>
      <c r="G3045" t="n">
        <v>5.8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s="2" t="inlineStr"/>
    </row>
    <row r="3046" ht="15" customHeight="1">
      <c r="A3046" t="inlineStr">
        <is>
          <t>A 9093-2021</t>
        </is>
      </c>
      <c r="B3046" s="1" t="n">
        <v>44249</v>
      </c>
      <c r="C3046" s="1" t="n">
        <v>45211</v>
      </c>
      <c r="D3046" t="inlineStr">
        <is>
          <t>ÖSTERGÖTLANDS LÄN</t>
        </is>
      </c>
      <c r="E3046" t="inlineStr">
        <is>
          <t>FINSPÅNG</t>
        </is>
      </c>
      <c r="G3046" t="n">
        <v>1.9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s="2" t="inlineStr"/>
    </row>
    <row r="3047" ht="15" customHeight="1">
      <c r="A3047" t="inlineStr">
        <is>
          <t>A 9107-2021</t>
        </is>
      </c>
      <c r="B3047" s="1" t="n">
        <v>44249</v>
      </c>
      <c r="C3047" s="1" t="n">
        <v>45211</v>
      </c>
      <c r="D3047" t="inlineStr">
        <is>
          <t>ÖSTERGÖTLANDS LÄN</t>
        </is>
      </c>
      <c r="E3047" t="inlineStr">
        <is>
          <t>KINDA</t>
        </is>
      </c>
      <c r="G3047" t="n">
        <v>1.8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s="2" t="inlineStr"/>
    </row>
    <row r="3048" ht="15" customHeight="1">
      <c r="A3048" t="inlineStr">
        <is>
          <t>A 9122-2021</t>
        </is>
      </c>
      <c r="B3048" s="1" t="n">
        <v>44249</v>
      </c>
      <c r="C3048" s="1" t="n">
        <v>45211</v>
      </c>
      <c r="D3048" t="inlineStr">
        <is>
          <t>ÖSTERGÖTLANDS LÄN</t>
        </is>
      </c>
      <c r="E3048" t="inlineStr">
        <is>
          <t>FINSPÅNG</t>
        </is>
      </c>
      <c r="F3048" t="inlineStr">
        <is>
          <t>Övriga Aktiebolag</t>
        </is>
      </c>
      <c r="G3048" t="n">
        <v>0.4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s="2" t="inlineStr"/>
    </row>
    <row r="3049" ht="15" customHeight="1">
      <c r="A3049" t="inlineStr">
        <is>
          <t>A 9139-2021</t>
        </is>
      </c>
      <c r="B3049" s="1" t="n">
        <v>44249</v>
      </c>
      <c r="C3049" s="1" t="n">
        <v>45211</v>
      </c>
      <c r="D3049" t="inlineStr">
        <is>
          <t>ÖSTERGÖTLANDS LÄN</t>
        </is>
      </c>
      <c r="E3049" t="inlineStr">
        <is>
          <t>FINSPÅNG</t>
        </is>
      </c>
      <c r="F3049" t="inlineStr">
        <is>
          <t>Övriga Aktiebolag</t>
        </is>
      </c>
      <c r="G3049" t="n">
        <v>0.8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s="2" t="inlineStr"/>
    </row>
    <row r="3050" ht="15" customHeight="1">
      <c r="A3050" t="inlineStr">
        <is>
          <t>A 9203-2021</t>
        </is>
      </c>
      <c r="B3050" s="1" t="n">
        <v>44249</v>
      </c>
      <c r="C3050" s="1" t="n">
        <v>45211</v>
      </c>
      <c r="D3050" t="inlineStr">
        <is>
          <t>ÖSTERGÖTLANDS LÄN</t>
        </is>
      </c>
      <c r="E3050" t="inlineStr">
        <is>
          <t>KINDA</t>
        </is>
      </c>
      <c r="G3050" t="n">
        <v>2.1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s="2" t="inlineStr"/>
    </row>
    <row r="3051" ht="15" customHeight="1">
      <c r="A3051" t="inlineStr">
        <is>
          <t>A 9346-2021</t>
        </is>
      </c>
      <c r="B3051" s="1" t="n">
        <v>44250</v>
      </c>
      <c r="C3051" s="1" t="n">
        <v>45211</v>
      </c>
      <c r="D3051" t="inlineStr">
        <is>
          <t>ÖSTERGÖTLANDS LÄN</t>
        </is>
      </c>
      <c r="E3051" t="inlineStr">
        <is>
          <t>FINSPÅNG</t>
        </is>
      </c>
      <c r="F3051" t="inlineStr">
        <is>
          <t>Holmen skog AB</t>
        </is>
      </c>
      <c r="G3051" t="n">
        <v>1.3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s="2" t="inlineStr"/>
    </row>
    <row r="3052" ht="15" customHeight="1">
      <c r="A3052" t="inlineStr">
        <is>
          <t>A 9390-2021</t>
        </is>
      </c>
      <c r="B3052" s="1" t="n">
        <v>44250</v>
      </c>
      <c r="C3052" s="1" t="n">
        <v>45211</v>
      </c>
      <c r="D3052" t="inlineStr">
        <is>
          <t>ÖSTERGÖTLANDS LÄN</t>
        </is>
      </c>
      <c r="E3052" t="inlineStr">
        <is>
          <t>FINSPÅNG</t>
        </is>
      </c>
      <c r="F3052" t="inlineStr">
        <is>
          <t>Övriga Aktiebolag</t>
        </is>
      </c>
      <c r="G3052" t="n">
        <v>0.9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s="2" t="inlineStr"/>
    </row>
    <row r="3053" ht="15" customHeight="1">
      <c r="A3053" t="inlineStr">
        <is>
          <t>A 9314-2021</t>
        </is>
      </c>
      <c r="B3053" s="1" t="n">
        <v>44250</v>
      </c>
      <c r="C3053" s="1" t="n">
        <v>45211</v>
      </c>
      <c r="D3053" t="inlineStr">
        <is>
          <t>ÖSTERGÖTLANDS LÄN</t>
        </is>
      </c>
      <c r="E3053" t="inlineStr">
        <is>
          <t>ÅTVIDABERG</t>
        </is>
      </c>
      <c r="G3053" t="n">
        <v>3.1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s="2" t="inlineStr"/>
    </row>
    <row r="3054" ht="15" customHeight="1">
      <c r="A3054" t="inlineStr">
        <is>
          <t>A 9385-2021</t>
        </is>
      </c>
      <c r="B3054" s="1" t="n">
        <v>44250</v>
      </c>
      <c r="C3054" s="1" t="n">
        <v>45211</v>
      </c>
      <c r="D3054" t="inlineStr">
        <is>
          <t>ÖSTERGÖTLANDS LÄN</t>
        </is>
      </c>
      <c r="E3054" t="inlineStr">
        <is>
          <t>FINSPÅNG</t>
        </is>
      </c>
      <c r="F3054" t="inlineStr">
        <is>
          <t>Övriga Aktiebolag</t>
        </is>
      </c>
      <c r="G3054" t="n">
        <v>1.4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s="2" t="inlineStr"/>
    </row>
    <row r="3055" ht="15" customHeight="1">
      <c r="A3055" t="inlineStr">
        <is>
          <t>A 9500-2021</t>
        </is>
      </c>
      <c r="B3055" s="1" t="n">
        <v>44251</v>
      </c>
      <c r="C3055" s="1" t="n">
        <v>45211</v>
      </c>
      <c r="D3055" t="inlineStr">
        <is>
          <t>ÖSTERGÖTLANDS LÄN</t>
        </is>
      </c>
      <c r="E3055" t="inlineStr">
        <is>
          <t>ÖDESHÖG</t>
        </is>
      </c>
      <c r="G3055" t="n">
        <v>2.8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s="2" t="inlineStr"/>
    </row>
    <row r="3056" ht="15" customHeight="1">
      <c r="A3056" t="inlineStr">
        <is>
          <t>A 9740-2021</t>
        </is>
      </c>
      <c r="B3056" s="1" t="n">
        <v>44252</v>
      </c>
      <c r="C3056" s="1" t="n">
        <v>45211</v>
      </c>
      <c r="D3056" t="inlineStr">
        <is>
          <t>ÖSTERGÖTLANDS LÄN</t>
        </is>
      </c>
      <c r="E3056" t="inlineStr">
        <is>
          <t>ÅTVIDABERG</t>
        </is>
      </c>
      <c r="G3056" t="n">
        <v>2.8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s="2" t="inlineStr"/>
    </row>
    <row r="3057" ht="15" customHeight="1">
      <c r="A3057" t="inlineStr">
        <is>
          <t>A 9764-2021</t>
        </is>
      </c>
      <c r="B3057" s="1" t="n">
        <v>44252</v>
      </c>
      <c r="C3057" s="1" t="n">
        <v>45211</v>
      </c>
      <c r="D3057" t="inlineStr">
        <is>
          <t>ÖSTERGÖTLANDS LÄN</t>
        </is>
      </c>
      <c r="E3057" t="inlineStr">
        <is>
          <t>NORRKÖPING</t>
        </is>
      </c>
      <c r="F3057" t="inlineStr">
        <is>
          <t>Allmännings- och besparingsskogar</t>
        </is>
      </c>
      <c r="G3057" t="n">
        <v>2.8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s="2" t="inlineStr"/>
    </row>
    <row r="3058" ht="15" customHeight="1">
      <c r="A3058" t="inlineStr">
        <is>
          <t>A 9765-2021</t>
        </is>
      </c>
      <c r="B3058" s="1" t="n">
        <v>44252</v>
      </c>
      <c r="C3058" s="1" t="n">
        <v>45211</v>
      </c>
      <c r="D3058" t="inlineStr">
        <is>
          <t>ÖSTERGÖTLANDS LÄN</t>
        </is>
      </c>
      <c r="E3058" t="inlineStr">
        <is>
          <t>FINSPÅNG</t>
        </is>
      </c>
      <c r="F3058" t="inlineStr">
        <is>
          <t>Övriga Aktiebolag</t>
        </is>
      </c>
      <c r="G3058" t="n">
        <v>2.6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s="2" t="inlineStr"/>
    </row>
    <row r="3059" ht="15" customHeight="1">
      <c r="A3059" t="inlineStr">
        <is>
          <t>A 9949-2021</t>
        </is>
      </c>
      <c r="B3059" s="1" t="n">
        <v>44252</v>
      </c>
      <c r="C3059" s="1" t="n">
        <v>45211</v>
      </c>
      <c r="D3059" t="inlineStr">
        <is>
          <t>ÖSTERGÖTLANDS LÄN</t>
        </is>
      </c>
      <c r="E3059" t="inlineStr">
        <is>
          <t>KINDA</t>
        </is>
      </c>
      <c r="G3059" t="n">
        <v>3.4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s="2" t="inlineStr"/>
    </row>
    <row r="3060" ht="15" customHeight="1">
      <c r="A3060" t="inlineStr">
        <is>
          <t>A 9784-2021</t>
        </is>
      </c>
      <c r="B3060" s="1" t="n">
        <v>44252</v>
      </c>
      <c r="C3060" s="1" t="n">
        <v>45211</v>
      </c>
      <c r="D3060" t="inlineStr">
        <is>
          <t>ÖSTERGÖTLANDS LÄN</t>
        </is>
      </c>
      <c r="E3060" t="inlineStr">
        <is>
          <t>FINSPÅNG</t>
        </is>
      </c>
      <c r="F3060" t="inlineStr">
        <is>
          <t>Holmen skog AB</t>
        </is>
      </c>
      <c r="G3060" t="n">
        <v>0.5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s="2" t="inlineStr"/>
    </row>
    <row r="3061" ht="15" customHeight="1">
      <c r="A3061" t="inlineStr">
        <is>
          <t>A 9709-2021</t>
        </is>
      </c>
      <c r="B3061" s="1" t="n">
        <v>44252</v>
      </c>
      <c r="C3061" s="1" t="n">
        <v>45211</v>
      </c>
      <c r="D3061" t="inlineStr">
        <is>
          <t>ÖSTERGÖTLANDS LÄN</t>
        </is>
      </c>
      <c r="E3061" t="inlineStr">
        <is>
          <t>ÖDESHÖG</t>
        </is>
      </c>
      <c r="G3061" t="n">
        <v>1.9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s="2" t="inlineStr"/>
    </row>
    <row r="3062" ht="15" customHeight="1">
      <c r="A3062" t="inlineStr">
        <is>
          <t>A 9832-2021</t>
        </is>
      </c>
      <c r="B3062" s="1" t="n">
        <v>44253</v>
      </c>
      <c r="C3062" s="1" t="n">
        <v>45211</v>
      </c>
      <c r="D3062" t="inlineStr">
        <is>
          <t>ÖSTERGÖTLANDS LÄN</t>
        </is>
      </c>
      <c r="E3062" t="inlineStr">
        <is>
          <t>FINSPÅNG</t>
        </is>
      </c>
      <c r="G3062" t="n">
        <v>0.7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s="2" t="inlineStr"/>
    </row>
    <row r="3063" ht="15" customHeight="1">
      <c r="A3063" t="inlineStr">
        <is>
          <t>A 9935-2021</t>
        </is>
      </c>
      <c r="B3063" s="1" t="n">
        <v>44253</v>
      </c>
      <c r="C3063" s="1" t="n">
        <v>45211</v>
      </c>
      <c r="D3063" t="inlineStr">
        <is>
          <t>ÖSTERGÖTLANDS LÄN</t>
        </is>
      </c>
      <c r="E3063" t="inlineStr">
        <is>
          <t>LINKÖPING</t>
        </is>
      </c>
      <c r="G3063" t="n">
        <v>4.5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s="2" t="inlineStr"/>
    </row>
    <row r="3064" ht="15" customHeight="1">
      <c r="A3064" t="inlineStr">
        <is>
          <t>A 9998-2021</t>
        </is>
      </c>
      <c r="B3064" s="1" t="n">
        <v>44255</v>
      </c>
      <c r="C3064" s="1" t="n">
        <v>45211</v>
      </c>
      <c r="D3064" t="inlineStr">
        <is>
          <t>ÖSTERGÖTLANDS LÄN</t>
        </is>
      </c>
      <c r="E3064" t="inlineStr">
        <is>
          <t>MOTALA</t>
        </is>
      </c>
      <c r="G3064" t="n">
        <v>2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s="2" t="inlineStr"/>
    </row>
    <row r="3065" ht="15" customHeight="1">
      <c r="A3065" t="inlineStr">
        <is>
          <t>A 10001-2021</t>
        </is>
      </c>
      <c r="B3065" s="1" t="n">
        <v>44255</v>
      </c>
      <c r="C3065" s="1" t="n">
        <v>45211</v>
      </c>
      <c r="D3065" t="inlineStr">
        <is>
          <t>ÖSTERGÖTLANDS LÄN</t>
        </is>
      </c>
      <c r="E3065" t="inlineStr">
        <is>
          <t>MOTALA</t>
        </is>
      </c>
      <c r="G3065" t="n">
        <v>8.300000000000001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s="2" t="inlineStr"/>
    </row>
    <row r="3066" ht="15" customHeight="1">
      <c r="A3066" t="inlineStr">
        <is>
          <t>A 10025-2021</t>
        </is>
      </c>
      <c r="B3066" s="1" t="n">
        <v>44256</v>
      </c>
      <c r="C3066" s="1" t="n">
        <v>45211</v>
      </c>
      <c r="D3066" t="inlineStr">
        <is>
          <t>ÖSTERGÖTLANDS LÄN</t>
        </is>
      </c>
      <c r="E3066" t="inlineStr">
        <is>
          <t>ÅTVIDABERG</t>
        </is>
      </c>
      <c r="G3066" t="n">
        <v>0.8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s="2" t="inlineStr"/>
    </row>
    <row r="3067" ht="15" customHeight="1">
      <c r="A3067" t="inlineStr">
        <is>
          <t>A 10050-2021</t>
        </is>
      </c>
      <c r="B3067" s="1" t="n">
        <v>44256</v>
      </c>
      <c r="C3067" s="1" t="n">
        <v>45211</v>
      </c>
      <c r="D3067" t="inlineStr">
        <is>
          <t>ÖSTERGÖTLANDS LÄN</t>
        </is>
      </c>
      <c r="E3067" t="inlineStr">
        <is>
          <t>VALDEMARSVIK</t>
        </is>
      </c>
      <c r="G3067" t="n">
        <v>1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s="2" t="inlineStr"/>
    </row>
    <row r="3068" ht="15" customHeight="1">
      <c r="A3068" t="inlineStr">
        <is>
          <t>A 10041-2021</t>
        </is>
      </c>
      <c r="B3068" s="1" t="n">
        <v>44256</v>
      </c>
      <c r="C3068" s="1" t="n">
        <v>45211</v>
      </c>
      <c r="D3068" t="inlineStr">
        <is>
          <t>ÖSTERGÖTLANDS LÄN</t>
        </is>
      </c>
      <c r="E3068" t="inlineStr">
        <is>
          <t>ÅTVIDABERG</t>
        </is>
      </c>
      <c r="G3068" t="n">
        <v>0.9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s="2" t="inlineStr"/>
    </row>
    <row r="3069" ht="15" customHeight="1">
      <c r="A3069" t="inlineStr">
        <is>
          <t>A 10047-2021</t>
        </is>
      </c>
      <c r="B3069" s="1" t="n">
        <v>44256</v>
      </c>
      <c r="C3069" s="1" t="n">
        <v>45211</v>
      </c>
      <c r="D3069" t="inlineStr">
        <is>
          <t>ÖSTERGÖTLANDS LÄN</t>
        </is>
      </c>
      <c r="E3069" t="inlineStr">
        <is>
          <t>ÅTVIDABERG</t>
        </is>
      </c>
      <c r="G3069" t="n">
        <v>1.1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s="2" t="inlineStr"/>
    </row>
    <row r="3070" ht="15" customHeight="1">
      <c r="A3070" t="inlineStr">
        <is>
          <t>A 10123-2021</t>
        </is>
      </c>
      <c r="B3070" s="1" t="n">
        <v>44256</v>
      </c>
      <c r="C3070" s="1" t="n">
        <v>45211</v>
      </c>
      <c r="D3070" t="inlineStr">
        <is>
          <t>ÖSTERGÖTLANDS LÄN</t>
        </is>
      </c>
      <c r="E3070" t="inlineStr">
        <is>
          <t>LINKÖPING</t>
        </is>
      </c>
      <c r="F3070" t="inlineStr">
        <is>
          <t>Allmännings- och besparingsskogar</t>
        </is>
      </c>
      <c r="G3070" t="n">
        <v>1.7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s="2" t="inlineStr"/>
    </row>
    <row r="3071" ht="15" customHeight="1">
      <c r="A3071" t="inlineStr">
        <is>
          <t>A 10390-2021</t>
        </is>
      </c>
      <c r="B3071" s="1" t="n">
        <v>44257</v>
      </c>
      <c r="C3071" s="1" t="n">
        <v>45211</v>
      </c>
      <c r="D3071" t="inlineStr">
        <is>
          <t>ÖSTERGÖTLANDS LÄN</t>
        </is>
      </c>
      <c r="E3071" t="inlineStr">
        <is>
          <t>BOXHOLM</t>
        </is>
      </c>
      <c r="G3071" t="n">
        <v>2.1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s="2" t="inlineStr"/>
    </row>
    <row r="3072" ht="15" customHeight="1">
      <c r="A3072" t="inlineStr">
        <is>
          <t>A 10465-2021</t>
        </is>
      </c>
      <c r="B3072" s="1" t="n">
        <v>44257</v>
      </c>
      <c r="C3072" s="1" t="n">
        <v>45211</v>
      </c>
      <c r="D3072" t="inlineStr">
        <is>
          <t>ÖSTERGÖTLANDS LÄN</t>
        </is>
      </c>
      <c r="E3072" t="inlineStr">
        <is>
          <t>FINSPÅNG</t>
        </is>
      </c>
      <c r="F3072" t="inlineStr">
        <is>
          <t>Övriga Aktiebolag</t>
        </is>
      </c>
      <c r="G3072" t="n">
        <v>0.7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s="2" t="inlineStr"/>
    </row>
    <row r="3073" ht="15" customHeight="1">
      <c r="A3073" t="inlineStr">
        <is>
          <t>A 10476-2021</t>
        </is>
      </c>
      <c r="B3073" s="1" t="n">
        <v>44257</v>
      </c>
      <c r="C3073" s="1" t="n">
        <v>45211</v>
      </c>
      <c r="D3073" t="inlineStr">
        <is>
          <t>ÖSTERGÖTLANDS LÄN</t>
        </is>
      </c>
      <c r="E3073" t="inlineStr">
        <is>
          <t>YDRE</t>
        </is>
      </c>
      <c r="G3073" t="n">
        <v>1.7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s="2" t="inlineStr"/>
    </row>
    <row r="3074" ht="15" customHeight="1">
      <c r="A3074" t="inlineStr">
        <is>
          <t>A 10312-2021</t>
        </is>
      </c>
      <c r="B3074" s="1" t="n">
        <v>44257</v>
      </c>
      <c r="C3074" s="1" t="n">
        <v>45211</v>
      </c>
      <c r="D3074" t="inlineStr">
        <is>
          <t>ÖSTERGÖTLANDS LÄN</t>
        </is>
      </c>
      <c r="E3074" t="inlineStr">
        <is>
          <t>MOTALA</t>
        </is>
      </c>
      <c r="G3074" t="n">
        <v>1.8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s="2" t="inlineStr"/>
    </row>
    <row r="3075" ht="15" customHeight="1">
      <c r="A3075" t="inlineStr">
        <is>
          <t>A 10462-2021</t>
        </is>
      </c>
      <c r="B3075" s="1" t="n">
        <v>44257</v>
      </c>
      <c r="C3075" s="1" t="n">
        <v>45211</v>
      </c>
      <c r="D3075" t="inlineStr">
        <is>
          <t>ÖSTERGÖTLANDS LÄN</t>
        </is>
      </c>
      <c r="E3075" t="inlineStr">
        <is>
          <t>FINSPÅNG</t>
        </is>
      </c>
      <c r="F3075" t="inlineStr">
        <is>
          <t>Övriga Aktiebolag</t>
        </is>
      </c>
      <c r="G3075" t="n">
        <v>1.1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s="2" t="inlineStr"/>
    </row>
    <row r="3076" ht="15" customHeight="1">
      <c r="A3076" t="inlineStr">
        <is>
          <t>A 10475-2021</t>
        </is>
      </c>
      <c r="B3076" s="1" t="n">
        <v>44257</v>
      </c>
      <c r="C3076" s="1" t="n">
        <v>45211</v>
      </c>
      <c r="D3076" t="inlineStr">
        <is>
          <t>ÖSTERGÖTLANDS LÄN</t>
        </is>
      </c>
      <c r="E3076" t="inlineStr">
        <is>
          <t>YDRE</t>
        </is>
      </c>
      <c r="G3076" t="n">
        <v>4.9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s="2" t="inlineStr"/>
    </row>
    <row r="3077" ht="15" customHeight="1">
      <c r="A3077" t="inlineStr">
        <is>
          <t>A 10597-2021</t>
        </is>
      </c>
      <c r="B3077" s="1" t="n">
        <v>44258</v>
      </c>
      <c r="C3077" s="1" t="n">
        <v>45211</v>
      </c>
      <c r="D3077" t="inlineStr">
        <is>
          <t>ÖSTERGÖTLANDS LÄN</t>
        </is>
      </c>
      <c r="E3077" t="inlineStr">
        <is>
          <t>NORRKÖPING</t>
        </is>
      </c>
      <c r="G3077" t="n">
        <v>0.6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s="2" t="inlineStr"/>
    </row>
    <row r="3078" ht="15" customHeight="1">
      <c r="A3078" t="inlineStr">
        <is>
          <t>A 10654-2021</t>
        </is>
      </c>
      <c r="B3078" s="1" t="n">
        <v>44258</v>
      </c>
      <c r="C3078" s="1" t="n">
        <v>45211</v>
      </c>
      <c r="D3078" t="inlineStr">
        <is>
          <t>ÖSTERGÖTLANDS LÄN</t>
        </is>
      </c>
      <c r="E3078" t="inlineStr">
        <is>
          <t>FINSPÅNG</t>
        </is>
      </c>
      <c r="F3078" t="inlineStr">
        <is>
          <t>Holmen skog AB</t>
        </is>
      </c>
      <c r="G3078" t="n">
        <v>0.7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s="2" t="inlineStr"/>
    </row>
    <row r="3079" ht="15" customHeight="1">
      <c r="A3079" t="inlineStr">
        <is>
          <t>A 10679-2021</t>
        </is>
      </c>
      <c r="B3079" s="1" t="n">
        <v>44258</v>
      </c>
      <c r="C3079" s="1" t="n">
        <v>45211</v>
      </c>
      <c r="D3079" t="inlineStr">
        <is>
          <t>ÖSTERGÖTLANDS LÄN</t>
        </is>
      </c>
      <c r="E3079" t="inlineStr">
        <is>
          <t>LINKÖPING</t>
        </is>
      </c>
      <c r="F3079" t="inlineStr">
        <is>
          <t>Allmännings- och besparingsskogar</t>
        </is>
      </c>
      <c r="G3079" t="n">
        <v>0.6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s="2" t="inlineStr"/>
    </row>
    <row r="3080" ht="15" customHeight="1">
      <c r="A3080" t="inlineStr">
        <is>
          <t>A 10596-2021</t>
        </is>
      </c>
      <c r="B3080" s="1" t="n">
        <v>44258</v>
      </c>
      <c r="C3080" s="1" t="n">
        <v>45211</v>
      </c>
      <c r="D3080" t="inlineStr">
        <is>
          <t>ÖSTERGÖTLANDS LÄN</t>
        </is>
      </c>
      <c r="E3080" t="inlineStr">
        <is>
          <t>KINDA</t>
        </is>
      </c>
      <c r="G3080" t="n">
        <v>6.5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s="2" t="inlineStr"/>
    </row>
    <row r="3081" ht="15" customHeight="1">
      <c r="A3081" t="inlineStr">
        <is>
          <t>A 10678-2021</t>
        </is>
      </c>
      <c r="B3081" s="1" t="n">
        <v>44258</v>
      </c>
      <c r="C3081" s="1" t="n">
        <v>45211</v>
      </c>
      <c r="D3081" t="inlineStr">
        <is>
          <t>ÖSTERGÖTLANDS LÄN</t>
        </is>
      </c>
      <c r="E3081" t="inlineStr">
        <is>
          <t>FINSPÅNG</t>
        </is>
      </c>
      <c r="F3081" t="inlineStr">
        <is>
          <t>Holmen skog AB</t>
        </is>
      </c>
      <c r="G3081" t="n">
        <v>0.8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s="2" t="inlineStr"/>
    </row>
    <row r="3082" ht="15" customHeight="1">
      <c r="A3082" t="inlineStr">
        <is>
          <t>A 10796-2021</t>
        </is>
      </c>
      <c r="B3082" s="1" t="n">
        <v>44259</v>
      </c>
      <c r="C3082" s="1" t="n">
        <v>45211</v>
      </c>
      <c r="D3082" t="inlineStr">
        <is>
          <t>ÖSTERGÖTLANDS LÄN</t>
        </is>
      </c>
      <c r="E3082" t="inlineStr">
        <is>
          <t>MOTALA</t>
        </is>
      </c>
      <c r="G3082" t="n">
        <v>1.9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s="2" t="inlineStr"/>
    </row>
    <row r="3083" ht="15" customHeight="1">
      <c r="A3083" t="inlineStr">
        <is>
          <t>A 10866-2021</t>
        </is>
      </c>
      <c r="B3083" s="1" t="n">
        <v>44259</v>
      </c>
      <c r="C3083" s="1" t="n">
        <v>45211</v>
      </c>
      <c r="D3083" t="inlineStr">
        <is>
          <t>ÖSTERGÖTLANDS LÄN</t>
        </is>
      </c>
      <c r="E3083" t="inlineStr">
        <is>
          <t>FINSPÅNG</t>
        </is>
      </c>
      <c r="F3083" t="inlineStr">
        <is>
          <t>Holmen skog AB</t>
        </is>
      </c>
      <c r="G3083" t="n">
        <v>0.7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s="2" t="inlineStr"/>
    </row>
    <row r="3084" ht="15" customHeight="1">
      <c r="A3084" t="inlineStr">
        <is>
          <t>A 10881-2021</t>
        </is>
      </c>
      <c r="B3084" s="1" t="n">
        <v>44259</v>
      </c>
      <c r="C3084" s="1" t="n">
        <v>45211</v>
      </c>
      <c r="D3084" t="inlineStr">
        <is>
          <t>ÖSTERGÖTLANDS LÄN</t>
        </is>
      </c>
      <c r="E3084" t="inlineStr">
        <is>
          <t>FINSPÅNG</t>
        </is>
      </c>
      <c r="F3084" t="inlineStr">
        <is>
          <t>Övriga Aktiebolag</t>
        </is>
      </c>
      <c r="G3084" t="n">
        <v>0.6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s="2" t="inlineStr"/>
    </row>
    <row r="3085" ht="15" customHeight="1">
      <c r="A3085" t="inlineStr">
        <is>
          <t>A 10816-2021</t>
        </is>
      </c>
      <c r="B3085" s="1" t="n">
        <v>44259</v>
      </c>
      <c r="C3085" s="1" t="n">
        <v>45211</v>
      </c>
      <c r="D3085" t="inlineStr">
        <is>
          <t>ÖSTERGÖTLANDS LÄN</t>
        </is>
      </c>
      <c r="E3085" t="inlineStr">
        <is>
          <t>BOXHOLM</t>
        </is>
      </c>
      <c r="F3085" t="inlineStr">
        <is>
          <t>Övriga Aktiebolag</t>
        </is>
      </c>
      <c r="G3085" t="n">
        <v>7.3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s="2" t="inlineStr"/>
    </row>
    <row r="3086" ht="15" customHeight="1">
      <c r="A3086" t="inlineStr">
        <is>
          <t>A 10830-2021</t>
        </is>
      </c>
      <c r="B3086" s="1" t="n">
        <v>44259</v>
      </c>
      <c r="C3086" s="1" t="n">
        <v>45211</v>
      </c>
      <c r="D3086" t="inlineStr">
        <is>
          <t>ÖSTERGÖTLANDS LÄN</t>
        </is>
      </c>
      <c r="E3086" t="inlineStr">
        <is>
          <t>FINSPÅNG</t>
        </is>
      </c>
      <c r="F3086" t="inlineStr">
        <is>
          <t>Holmen skog AB</t>
        </is>
      </c>
      <c r="G3086" t="n">
        <v>0.5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s="2" t="inlineStr"/>
    </row>
    <row r="3087" ht="15" customHeight="1">
      <c r="A3087" t="inlineStr">
        <is>
          <t>A 10990-2021</t>
        </is>
      </c>
      <c r="B3087" s="1" t="n">
        <v>44260</v>
      </c>
      <c r="C3087" s="1" t="n">
        <v>45211</v>
      </c>
      <c r="D3087" t="inlineStr">
        <is>
          <t>ÖSTERGÖTLANDS LÄN</t>
        </is>
      </c>
      <c r="E3087" t="inlineStr">
        <is>
          <t>YDRE</t>
        </is>
      </c>
      <c r="G3087" t="n">
        <v>2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s="2" t="inlineStr"/>
    </row>
    <row r="3088" ht="15" customHeight="1">
      <c r="A3088" t="inlineStr">
        <is>
          <t>A 11347-2021</t>
        </is>
      </c>
      <c r="B3088" s="1" t="n">
        <v>44263</v>
      </c>
      <c r="C3088" s="1" t="n">
        <v>45211</v>
      </c>
      <c r="D3088" t="inlineStr">
        <is>
          <t>ÖSTERGÖTLANDS LÄN</t>
        </is>
      </c>
      <c r="E3088" t="inlineStr">
        <is>
          <t>VADSTENA</t>
        </is>
      </c>
      <c r="G3088" t="n">
        <v>0.2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s="2" t="inlineStr"/>
    </row>
    <row r="3089" ht="15" customHeight="1">
      <c r="A3089" t="inlineStr">
        <is>
          <t>A 11358-2021</t>
        </is>
      </c>
      <c r="B3089" s="1" t="n">
        <v>44263</v>
      </c>
      <c r="C3089" s="1" t="n">
        <v>45211</v>
      </c>
      <c r="D3089" t="inlineStr">
        <is>
          <t>ÖSTERGÖTLANDS LÄN</t>
        </is>
      </c>
      <c r="E3089" t="inlineStr">
        <is>
          <t>YDRE</t>
        </is>
      </c>
      <c r="G3089" t="n">
        <v>0.8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s="2" t="inlineStr"/>
    </row>
    <row r="3090" ht="15" customHeight="1">
      <c r="A3090" t="inlineStr">
        <is>
          <t>A 11351-2021</t>
        </is>
      </c>
      <c r="B3090" s="1" t="n">
        <v>44263</v>
      </c>
      <c r="C3090" s="1" t="n">
        <v>45211</v>
      </c>
      <c r="D3090" t="inlineStr">
        <is>
          <t>ÖSTERGÖTLANDS LÄN</t>
        </is>
      </c>
      <c r="E3090" t="inlineStr">
        <is>
          <t>VADSTENA</t>
        </is>
      </c>
      <c r="G3090" t="n">
        <v>0.5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s="2" t="inlineStr"/>
    </row>
    <row r="3091" ht="15" customHeight="1">
      <c r="A3091" t="inlineStr">
        <is>
          <t>A 11494-2021</t>
        </is>
      </c>
      <c r="B3091" s="1" t="n">
        <v>44264</v>
      </c>
      <c r="C3091" s="1" t="n">
        <v>45211</v>
      </c>
      <c r="D3091" t="inlineStr">
        <is>
          <t>ÖSTERGÖTLANDS LÄN</t>
        </is>
      </c>
      <c r="E3091" t="inlineStr">
        <is>
          <t>FINSPÅNG</t>
        </is>
      </c>
      <c r="F3091" t="inlineStr">
        <is>
          <t>Holmen skog AB</t>
        </is>
      </c>
      <c r="G3091" t="n">
        <v>0.5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s="2" t="inlineStr"/>
    </row>
    <row r="3092" ht="15" customHeight="1">
      <c r="A3092" t="inlineStr">
        <is>
          <t>A 11902-2021</t>
        </is>
      </c>
      <c r="B3092" s="1" t="n">
        <v>44265</v>
      </c>
      <c r="C3092" s="1" t="n">
        <v>45211</v>
      </c>
      <c r="D3092" t="inlineStr">
        <is>
          <t>ÖSTERGÖTLANDS LÄN</t>
        </is>
      </c>
      <c r="E3092" t="inlineStr">
        <is>
          <t>FINSPÅNG</t>
        </is>
      </c>
      <c r="G3092" t="n">
        <v>1.3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s="2" t="inlineStr"/>
    </row>
    <row r="3093" ht="15" customHeight="1">
      <c r="A3093" t="inlineStr">
        <is>
          <t>A 11744-2021</t>
        </is>
      </c>
      <c r="B3093" s="1" t="n">
        <v>44265</v>
      </c>
      <c r="C3093" s="1" t="n">
        <v>45211</v>
      </c>
      <c r="D3093" t="inlineStr">
        <is>
          <t>ÖSTERGÖTLANDS LÄN</t>
        </is>
      </c>
      <c r="E3093" t="inlineStr">
        <is>
          <t>ÖDESHÖG</t>
        </is>
      </c>
      <c r="G3093" t="n">
        <v>1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s="2" t="inlineStr"/>
    </row>
    <row r="3094" ht="15" customHeight="1">
      <c r="A3094" t="inlineStr">
        <is>
          <t>A 11858-2021</t>
        </is>
      </c>
      <c r="B3094" s="1" t="n">
        <v>44265</v>
      </c>
      <c r="C3094" s="1" t="n">
        <v>45211</v>
      </c>
      <c r="D3094" t="inlineStr">
        <is>
          <t>ÖSTERGÖTLANDS LÄN</t>
        </is>
      </c>
      <c r="E3094" t="inlineStr">
        <is>
          <t>MOTALA</t>
        </is>
      </c>
      <c r="G3094" t="n">
        <v>1.3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s="2" t="inlineStr"/>
    </row>
    <row r="3095" ht="15" customHeight="1">
      <c r="A3095" t="inlineStr">
        <is>
          <t>A 11892-2021</t>
        </is>
      </c>
      <c r="B3095" s="1" t="n">
        <v>44265</v>
      </c>
      <c r="C3095" s="1" t="n">
        <v>45211</v>
      </c>
      <c r="D3095" t="inlineStr">
        <is>
          <t>ÖSTERGÖTLANDS LÄN</t>
        </is>
      </c>
      <c r="E3095" t="inlineStr">
        <is>
          <t>FINSPÅNG</t>
        </is>
      </c>
      <c r="G3095" t="n">
        <v>0.5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s="2" t="inlineStr"/>
    </row>
    <row r="3096" ht="15" customHeight="1">
      <c r="A3096" t="inlineStr">
        <is>
          <t>A 11907-2021</t>
        </is>
      </c>
      <c r="B3096" s="1" t="n">
        <v>44265</v>
      </c>
      <c r="C3096" s="1" t="n">
        <v>45211</v>
      </c>
      <c r="D3096" t="inlineStr">
        <is>
          <t>ÖSTERGÖTLANDS LÄN</t>
        </is>
      </c>
      <c r="E3096" t="inlineStr">
        <is>
          <t>SÖDERKÖPING</t>
        </is>
      </c>
      <c r="G3096" t="n">
        <v>0.8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s="2" t="inlineStr"/>
    </row>
    <row r="3097" ht="15" customHeight="1">
      <c r="A3097" t="inlineStr">
        <is>
          <t>A 11965-2021</t>
        </is>
      </c>
      <c r="B3097" s="1" t="n">
        <v>44266</v>
      </c>
      <c r="C3097" s="1" t="n">
        <v>45211</v>
      </c>
      <c r="D3097" t="inlineStr">
        <is>
          <t>ÖSTERGÖTLANDS LÄN</t>
        </is>
      </c>
      <c r="E3097" t="inlineStr">
        <is>
          <t>SÖDERKÖPING</t>
        </is>
      </c>
      <c r="G3097" t="n">
        <v>1.8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s="2" t="inlineStr"/>
    </row>
    <row r="3098" ht="15" customHeight="1">
      <c r="A3098" t="inlineStr">
        <is>
          <t>A 12128-2021</t>
        </is>
      </c>
      <c r="B3098" s="1" t="n">
        <v>44266</v>
      </c>
      <c r="C3098" s="1" t="n">
        <v>45211</v>
      </c>
      <c r="D3098" t="inlineStr">
        <is>
          <t>ÖSTERGÖTLANDS LÄN</t>
        </is>
      </c>
      <c r="E3098" t="inlineStr">
        <is>
          <t>KINDA</t>
        </is>
      </c>
      <c r="G3098" t="n">
        <v>4.1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s="2" t="inlineStr"/>
    </row>
    <row r="3099" ht="15" customHeight="1">
      <c r="A3099" t="inlineStr">
        <is>
          <t>A 11982-2021</t>
        </is>
      </c>
      <c r="B3099" s="1" t="n">
        <v>44266</v>
      </c>
      <c r="C3099" s="1" t="n">
        <v>45211</v>
      </c>
      <c r="D3099" t="inlineStr">
        <is>
          <t>ÖSTERGÖTLANDS LÄN</t>
        </is>
      </c>
      <c r="E3099" t="inlineStr">
        <is>
          <t>LINKÖPING</t>
        </is>
      </c>
      <c r="G3099" t="n">
        <v>2.1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s="2" t="inlineStr"/>
    </row>
    <row r="3100" ht="15" customHeight="1">
      <c r="A3100" t="inlineStr">
        <is>
          <t>A 12235-2021</t>
        </is>
      </c>
      <c r="B3100" s="1" t="n">
        <v>44266</v>
      </c>
      <c r="C3100" s="1" t="n">
        <v>45211</v>
      </c>
      <c r="D3100" t="inlineStr">
        <is>
          <t>ÖSTERGÖTLANDS LÄN</t>
        </is>
      </c>
      <c r="E3100" t="inlineStr">
        <is>
          <t>MOTALA</t>
        </is>
      </c>
      <c r="G3100" t="n">
        <v>1.7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s="2" t="inlineStr"/>
    </row>
    <row r="3101" ht="15" customHeight="1">
      <c r="A3101" t="inlineStr">
        <is>
          <t>A 12168-2021</t>
        </is>
      </c>
      <c r="B3101" s="1" t="n">
        <v>44266</v>
      </c>
      <c r="C3101" s="1" t="n">
        <v>45211</v>
      </c>
      <c r="D3101" t="inlineStr">
        <is>
          <t>ÖSTERGÖTLANDS LÄN</t>
        </is>
      </c>
      <c r="E3101" t="inlineStr">
        <is>
          <t>MJÖLBY</t>
        </is>
      </c>
      <c r="G3101" t="n">
        <v>1.3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s="2" t="inlineStr"/>
    </row>
    <row r="3102" ht="15" customHeight="1">
      <c r="A3102" t="inlineStr">
        <is>
          <t>A 12380-2021</t>
        </is>
      </c>
      <c r="B3102" s="1" t="n">
        <v>44267</v>
      </c>
      <c r="C3102" s="1" t="n">
        <v>45211</v>
      </c>
      <c r="D3102" t="inlineStr">
        <is>
          <t>ÖSTERGÖTLANDS LÄN</t>
        </is>
      </c>
      <c r="E3102" t="inlineStr">
        <is>
          <t>KINDA</t>
        </is>
      </c>
      <c r="G3102" t="n">
        <v>2.9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s="2" t="inlineStr"/>
    </row>
    <row r="3103" ht="15" customHeight="1">
      <c r="A3103" t="inlineStr">
        <is>
          <t>A 12565-2021</t>
        </is>
      </c>
      <c r="B3103" s="1" t="n">
        <v>44267</v>
      </c>
      <c r="C3103" s="1" t="n">
        <v>45211</v>
      </c>
      <c r="D3103" t="inlineStr">
        <is>
          <t>ÖSTERGÖTLANDS LÄN</t>
        </is>
      </c>
      <c r="E3103" t="inlineStr">
        <is>
          <t>FINSPÅNG</t>
        </is>
      </c>
      <c r="G3103" t="n">
        <v>3.4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s="2" t="inlineStr"/>
    </row>
    <row r="3104" ht="15" customHeight="1">
      <c r="A3104" t="inlineStr">
        <is>
          <t>A 12464-2021</t>
        </is>
      </c>
      <c r="B3104" s="1" t="n">
        <v>44267</v>
      </c>
      <c r="C3104" s="1" t="n">
        <v>45211</v>
      </c>
      <c r="D3104" t="inlineStr">
        <is>
          <t>ÖSTERGÖTLANDS LÄN</t>
        </is>
      </c>
      <c r="E3104" t="inlineStr">
        <is>
          <t>FINSPÅNG</t>
        </is>
      </c>
      <c r="F3104" t="inlineStr">
        <is>
          <t>Övriga Aktiebolag</t>
        </is>
      </c>
      <c r="G3104" t="n">
        <v>2.6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s="2" t="inlineStr"/>
    </row>
    <row r="3105" ht="15" customHeight="1">
      <c r="A3105" t="inlineStr">
        <is>
          <t>A 12561-2021</t>
        </is>
      </c>
      <c r="B3105" s="1" t="n">
        <v>44267</v>
      </c>
      <c r="C3105" s="1" t="n">
        <v>45211</v>
      </c>
      <c r="D3105" t="inlineStr">
        <is>
          <t>ÖSTERGÖTLANDS LÄN</t>
        </is>
      </c>
      <c r="E3105" t="inlineStr">
        <is>
          <t>FINSPÅNG</t>
        </is>
      </c>
      <c r="G3105" t="n">
        <v>2.5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s="2" t="inlineStr"/>
    </row>
    <row r="3106" ht="15" customHeight="1">
      <c r="A3106" t="inlineStr">
        <is>
          <t>A 12460-2021</t>
        </is>
      </c>
      <c r="B3106" s="1" t="n">
        <v>44267</v>
      </c>
      <c r="C3106" s="1" t="n">
        <v>45211</v>
      </c>
      <c r="D3106" t="inlineStr">
        <is>
          <t>ÖSTERGÖTLANDS LÄN</t>
        </is>
      </c>
      <c r="E3106" t="inlineStr">
        <is>
          <t>YDRE</t>
        </is>
      </c>
      <c r="F3106" t="inlineStr">
        <is>
          <t>Sveaskog</t>
        </is>
      </c>
      <c r="G3106" t="n">
        <v>1.3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s="2" t="inlineStr"/>
    </row>
    <row r="3107" ht="15" customHeight="1">
      <c r="A3107" t="inlineStr">
        <is>
          <t>A 12455-2021</t>
        </is>
      </c>
      <c r="B3107" s="1" t="n">
        <v>44267</v>
      </c>
      <c r="C3107" s="1" t="n">
        <v>45211</v>
      </c>
      <c r="D3107" t="inlineStr">
        <is>
          <t>ÖSTERGÖTLANDS LÄN</t>
        </is>
      </c>
      <c r="E3107" t="inlineStr">
        <is>
          <t>FINSPÅNG</t>
        </is>
      </c>
      <c r="F3107" t="inlineStr">
        <is>
          <t>Övriga Aktiebolag</t>
        </is>
      </c>
      <c r="G3107" t="n">
        <v>2.6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s="2" t="inlineStr"/>
    </row>
    <row r="3108" ht="15" customHeight="1">
      <c r="A3108" t="inlineStr">
        <is>
          <t>A 12685-2021</t>
        </is>
      </c>
      <c r="B3108" s="1" t="n">
        <v>44270</v>
      </c>
      <c r="C3108" s="1" t="n">
        <v>45211</v>
      </c>
      <c r="D3108" t="inlineStr">
        <is>
          <t>ÖSTERGÖTLANDS LÄN</t>
        </is>
      </c>
      <c r="E3108" t="inlineStr">
        <is>
          <t>NORRKÖPING</t>
        </is>
      </c>
      <c r="G3108" t="n">
        <v>1.7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s="2" t="inlineStr"/>
    </row>
    <row r="3109" ht="15" customHeight="1">
      <c r="A3109" t="inlineStr">
        <is>
          <t>A 12578-2021</t>
        </is>
      </c>
      <c r="B3109" s="1" t="n">
        <v>44270</v>
      </c>
      <c r="C3109" s="1" t="n">
        <v>45211</v>
      </c>
      <c r="D3109" t="inlineStr">
        <is>
          <t>ÖSTERGÖTLANDS LÄN</t>
        </is>
      </c>
      <c r="E3109" t="inlineStr">
        <is>
          <t>YDRE</t>
        </is>
      </c>
      <c r="F3109" t="inlineStr">
        <is>
          <t>Sveaskog</t>
        </is>
      </c>
      <c r="G3109" t="n">
        <v>2.4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s="2" t="inlineStr"/>
      <c r="U3109">
        <f>HYPERLINK("https://klasma.github.io/Logging_0512/knärot/A 12578-2021.png", "A 12578-2021")</f>
        <v/>
      </c>
      <c r="V3109">
        <f>HYPERLINK("https://klasma.github.io/Logging_0512/klagomål/A 12578-2021.docx", "A 12578-2021")</f>
        <v/>
      </c>
      <c r="W3109">
        <f>HYPERLINK("https://klasma.github.io/Logging_0512/klagomålsmail/A 12578-2021.docx", "A 12578-2021")</f>
        <v/>
      </c>
      <c r="X3109">
        <f>HYPERLINK("https://klasma.github.io/Logging_0512/tillsyn/A 12578-2021.docx", "A 12578-2021")</f>
        <v/>
      </c>
      <c r="Y3109">
        <f>HYPERLINK("https://klasma.github.io/Logging_0512/tillsynsmail/A 12578-2021.docx", "A 12578-2021")</f>
        <v/>
      </c>
    </row>
    <row r="3110" ht="15" customHeight="1">
      <c r="A3110" t="inlineStr">
        <is>
          <t>A 12976-2021</t>
        </is>
      </c>
      <c r="B3110" s="1" t="n">
        <v>44271</v>
      </c>
      <c r="C3110" s="1" t="n">
        <v>45211</v>
      </c>
      <c r="D3110" t="inlineStr">
        <is>
          <t>ÖSTERGÖTLANDS LÄN</t>
        </is>
      </c>
      <c r="E3110" t="inlineStr">
        <is>
          <t>BOXHOLM</t>
        </is>
      </c>
      <c r="F3110" t="inlineStr">
        <is>
          <t>Övriga Aktiebolag</t>
        </is>
      </c>
      <c r="G3110" t="n">
        <v>1.2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s="2" t="inlineStr"/>
    </row>
    <row r="3111" ht="15" customHeight="1">
      <c r="A3111" t="inlineStr">
        <is>
          <t>A 13093-2021</t>
        </is>
      </c>
      <c r="B3111" s="1" t="n">
        <v>44271</v>
      </c>
      <c r="C3111" s="1" t="n">
        <v>45211</v>
      </c>
      <c r="D3111" t="inlineStr">
        <is>
          <t>ÖSTERGÖTLANDS LÄN</t>
        </is>
      </c>
      <c r="E3111" t="inlineStr">
        <is>
          <t>MOTALA</t>
        </is>
      </c>
      <c r="G3111" t="n">
        <v>3.8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s="2" t="inlineStr"/>
    </row>
    <row r="3112" ht="15" customHeight="1">
      <c r="A3112" t="inlineStr">
        <is>
          <t>A 13021-2021</t>
        </is>
      </c>
      <c r="B3112" s="1" t="n">
        <v>44271</v>
      </c>
      <c r="C3112" s="1" t="n">
        <v>45211</v>
      </c>
      <c r="D3112" t="inlineStr">
        <is>
          <t>ÖSTERGÖTLANDS LÄN</t>
        </is>
      </c>
      <c r="E3112" t="inlineStr">
        <is>
          <t>NORRKÖPING</t>
        </is>
      </c>
      <c r="G3112" t="n">
        <v>1.5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s="2" t="inlineStr"/>
    </row>
    <row r="3113" ht="15" customHeight="1">
      <c r="A3113" t="inlineStr">
        <is>
          <t>A 13096-2021</t>
        </is>
      </c>
      <c r="B3113" s="1" t="n">
        <v>44271</v>
      </c>
      <c r="C3113" s="1" t="n">
        <v>45211</v>
      </c>
      <c r="D3113" t="inlineStr">
        <is>
          <t>ÖSTERGÖTLANDS LÄN</t>
        </is>
      </c>
      <c r="E3113" t="inlineStr">
        <is>
          <t>MOTALA</t>
        </is>
      </c>
      <c r="G3113" t="n">
        <v>2.5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s="2" t="inlineStr"/>
    </row>
    <row r="3114" ht="15" customHeight="1">
      <c r="A3114" t="inlineStr">
        <is>
          <t>A 13001-2021</t>
        </is>
      </c>
      <c r="B3114" s="1" t="n">
        <v>44271</v>
      </c>
      <c r="C3114" s="1" t="n">
        <v>45211</v>
      </c>
      <c r="D3114" t="inlineStr">
        <is>
          <t>ÖSTERGÖTLANDS LÄN</t>
        </is>
      </c>
      <c r="E3114" t="inlineStr">
        <is>
          <t>LINKÖPING</t>
        </is>
      </c>
      <c r="G3114" t="n">
        <v>6.6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s="2" t="inlineStr"/>
    </row>
    <row r="3115" ht="15" customHeight="1">
      <c r="A3115" t="inlineStr">
        <is>
          <t>A 13094-2021</t>
        </is>
      </c>
      <c r="B3115" s="1" t="n">
        <v>44271</v>
      </c>
      <c r="C3115" s="1" t="n">
        <v>45211</v>
      </c>
      <c r="D3115" t="inlineStr">
        <is>
          <t>ÖSTERGÖTLANDS LÄN</t>
        </is>
      </c>
      <c r="E3115" t="inlineStr">
        <is>
          <t>MOTALA</t>
        </is>
      </c>
      <c r="G3115" t="n">
        <v>1.2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s="2" t="inlineStr"/>
    </row>
    <row r="3116" ht="15" customHeight="1">
      <c r="A3116" t="inlineStr">
        <is>
          <t>A 13092-2021</t>
        </is>
      </c>
      <c r="B3116" s="1" t="n">
        <v>44271</v>
      </c>
      <c r="C3116" s="1" t="n">
        <v>45211</v>
      </c>
      <c r="D3116" t="inlineStr">
        <is>
          <t>ÖSTERGÖTLANDS LÄN</t>
        </is>
      </c>
      <c r="E3116" t="inlineStr">
        <is>
          <t>MOTALA</t>
        </is>
      </c>
      <c r="G3116" t="n">
        <v>1.1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s="2" t="inlineStr"/>
    </row>
    <row r="3117" ht="15" customHeight="1">
      <c r="A3117" t="inlineStr">
        <is>
          <t>A 13161-2021</t>
        </is>
      </c>
      <c r="B3117" s="1" t="n">
        <v>44272</v>
      </c>
      <c r="C3117" s="1" t="n">
        <v>45211</v>
      </c>
      <c r="D3117" t="inlineStr">
        <is>
          <t>ÖSTERGÖTLANDS LÄN</t>
        </is>
      </c>
      <c r="E3117" t="inlineStr">
        <is>
          <t>FINSPÅNG</t>
        </is>
      </c>
      <c r="F3117" t="inlineStr">
        <is>
          <t>Övriga Aktiebolag</t>
        </is>
      </c>
      <c r="G3117" t="n">
        <v>0.2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s="2" t="inlineStr"/>
    </row>
    <row r="3118" ht="15" customHeight="1">
      <c r="A3118" t="inlineStr">
        <is>
          <t>A 13138-2021</t>
        </is>
      </c>
      <c r="B3118" s="1" t="n">
        <v>44272</v>
      </c>
      <c r="C3118" s="1" t="n">
        <v>45211</v>
      </c>
      <c r="D3118" t="inlineStr">
        <is>
          <t>ÖSTERGÖTLANDS LÄN</t>
        </is>
      </c>
      <c r="E3118" t="inlineStr">
        <is>
          <t>FINSPÅNG</t>
        </is>
      </c>
      <c r="G3118" t="n">
        <v>1.2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s="2" t="inlineStr"/>
    </row>
    <row r="3119" ht="15" customHeight="1">
      <c r="A3119" t="inlineStr">
        <is>
          <t>A 13275-2021</t>
        </is>
      </c>
      <c r="B3119" s="1" t="n">
        <v>44272</v>
      </c>
      <c r="C3119" s="1" t="n">
        <v>45211</v>
      </c>
      <c r="D3119" t="inlineStr">
        <is>
          <t>ÖSTERGÖTLANDS LÄN</t>
        </is>
      </c>
      <c r="E3119" t="inlineStr">
        <is>
          <t>NORRKÖPING</t>
        </is>
      </c>
      <c r="G3119" t="n">
        <v>1.4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s="2" t="inlineStr"/>
    </row>
    <row r="3120" ht="15" customHeight="1">
      <c r="A3120" t="inlineStr">
        <is>
          <t>A 13163-2021</t>
        </is>
      </c>
      <c r="B3120" s="1" t="n">
        <v>44272</v>
      </c>
      <c r="C3120" s="1" t="n">
        <v>45211</v>
      </c>
      <c r="D3120" t="inlineStr">
        <is>
          <t>ÖSTERGÖTLANDS LÄN</t>
        </is>
      </c>
      <c r="E3120" t="inlineStr">
        <is>
          <t>NORRKÖPING</t>
        </is>
      </c>
      <c r="F3120" t="inlineStr">
        <is>
          <t>Allmännings- och besparingsskogar</t>
        </is>
      </c>
      <c r="G3120" t="n">
        <v>6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s="2" t="inlineStr"/>
    </row>
    <row r="3121" ht="15" customHeight="1">
      <c r="A3121" t="inlineStr">
        <is>
          <t>A 13273-2021</t>
        </is>
      </c>
      <c r="B3121" s="1" t="n">
        <v>44272</v>
      </c>
      <c r="C3121" s="1" t="n">
        <v>45211</v>
      </c>
      <c r="D3121" t="inlineStr">
        <is>
          <t>ÖSTERGÖTLANDS LÄN</t>
        </is>
      </c>
      <c r="E3121" t="inlineStr">
        <is>
          <t>KINDA</t>
        </is>
      </c>
      <c r="G3121" t="n">
        <v>3.4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s="2" t="inlineStr"/>
    </row>
    <row r="3122" ht="15" customHeight="1">
      <c r="A3122" t="inlineStr">
        <is>
          <t>A 13262-2021</t>
        </is>
      </c>
      <c r="B3122" s="1" t="n">
        <v>44272</v>
      </c>
      <c r="C3122" s="1" t="n">
        <v>45211</v>
      </c>
      <c r="D3122" t="inlineStr">
        <is>
          <t>ÖSTERGÖTLANDS LÄN</t>
        </is>
      </c>
      <c r="E3122" t="inlineStr">
        <is>
          <t>NORRKÖPING</t>
        </is>
      </c>
      <c r="F3122" t="inlineStr">
        <is>
          <t>Holmen skog AB</t>
        </is>
      </c>
      <c r="G3122" t="n">
        <v>5.7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s="2" t="inlineStr"/>
    </row>
    <row r="3123" ht="15" customHeight="1">
      <c r="A3123" t="inlineStr">
        <is>
          <t>A 13419-2021</t>
        </is>
      </c>
      <c r="B3123" s="1" t="n">
        <v>44273</v>
      </c>
      <c r="C3123" s="1" t="n">
        <v>45211</v>
      </c>
      <c r="D3123" t="inlineStr">
        <is>
          <t>ÖSTERGÖTLANDS LÄN</t>
        </is>
      </c>
      <c r="E3123" t="inlineStr">
        <is>
          <t>VALDEMARSVIK</t>
        </is>
      </c>
      <c r="G3123" t="n">
        <v>0.5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s="2" t="inlineStr"/>
    </row>
    <row r="3124" ht="15" customHeight="1">
      <c r="A3124" t="inlineStr">
        <is>
          <t>A 13488-2021</t>
        </is>
      </c>
      <c r="B3124" s="1" t="n">
        <v>44273</v>
      </c>
      <c r="C3124" s="1" t="n">
        <v>45211</v>
      </c>
      <c r="D3124" t="inlineStr">
        <is>
          <t>ÖSTERGÖTLANDS LÄN</t>
        </is>
      </c>
      <c r="E3124" t="inlineStr">
        <is>
          <t>MJÖLBY</t>
        </is>
      </c>
      <c r="G3124" t="n">
        <v>0.3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s="2" t="inlineStr"/>
    </row>
    <row r="3125" ht="15" customHeight="1">
      <c r="A3125" t="inlineStr">
        <is>
          <t>A 13549-2021</t>
        </is>
      </c>
      <c r="B3125" s="1" t="n">
        <v>44273</v>
      </c>
      <c r="C3125" s="1" t="n">
        <v>45211</v>
      </c>
      <c r="D3125" t="inlineStr">
        <is>
          <t>ÖSTERGÖTLANDS LÄN</t>
        </is>
      </c>
      <c r="E3125" t="inlineStr">
        <is>
          <t>ÅTVIDABERG</t>
        </is>
      </c>
      <c r="G3125" t="n">
        <v>1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s="2" t="inlineStr"/>
    </row>
    <row r="3126" ht="15" customHeight="1">
      <c r="A3126" t="inlineStr">
        <is>
          <t>A 13480-2021</t>
        </is>
      </c>
      <c r="B3126" s="1" t="n">
        <v>44273</v>
      </c>
      <c r="C3126" s="1" t="n">
        <v>45211</v>
      </c>
      <c r="D3126" t="inlineStr">
        <is>
          <t>ÖSTERGÖTLANDS LÄN</t>
        </is>
      </c>
      <c r="E3126" t="inlineStr">
        <is>
          <t>MJÖLBY</t>
        </is>
      </c>
      <c r="G3126" t="n">
        <v>4.2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s="2" t="inlineStr"/>
    </row>
    <row r="3127" ht="15" customHeight="1">
      <c r="A3127" t="inlineStr">
        <is>
          <t>A 13776-2021</t>
        </is>
      </c>
      <c r="B3127" s="1" t="n">
        <v>44274</v>
      </c>
      <c r="C3127" s="1" t="n">
        <v>45211</v>
      </c>
      <c r="D3127" t="inlineStr">
        <is>
          <t>ÖSTERGÖTLANDS LÄN</t>
        </is>
      </c>
      <c r="E3127" t="inlineStr">
        <is>
          <t>MOTALA</t>
        </is>
      </c>
      <c r="G3127" t="n">
        <v>3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s="2" t="inlineStr"/>
    </row>
    <row r="3128" ht="15" customHeight="1">
      <c r="A3128" t="inlineStr">
        <is>
          <t>A 13772-2021</t>
        </is>
      </c>
      <c r="B3128" s="1" t="n">
        <v>44274</v>
      </c>
      <c r="C3128" s="1" t="n">
        <v>45211</v>
      </c>
      <c r="D3128" t="inlineStr">
        <is>
          <t>ÖSTERGÖTLANDS LÄN</t>
        </is>
      </c>
      <c r="E3128" t="inlineStr">
        <is>
          <t>MOTALA</t>
        </is>
      </c>
      <c r="F3128" t="inlineStr">
        <is>
          <t>Sveaskog</t>
        </is>
      </c>
      <c r="G3128" t="n">
        <v>1.9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s="2" t="inlineStr"/>
    </row>
    <row r="3129" ht="15" customHeight="1">
      <c r="A3129" t="inlineStr">
        <is>
          <t>A 13661-2021</t>
        </is>
      </c>
      <c r="B3129" s="1" t="n">
        <v>44274</v>
      </c>
      <c r="C3129" s="1" t="n">
        <v>45211</v>
      </c>
      <c r="D3129" t="inlineStr">
        <is>
          <t>ÖSTERGÖTLANDS LÄN</t>
        </is>
      </c>
      <c r="E3129" t="inlineStr">
        <is>
          <t>KINDA</t>
        </is>
      </c>
      <c r="G3129" t="n">
        <v>0.8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s="2" t="inlineStr"/>
    </row>
    <row r="3130" ht="15" customHeight="1">
      <c r="A3130" t="inlineStr">
        <is>
          <t>A 13697-2021</t>
        </is>
      </c>
      <c r="B3130" s="1" t="n">
        <v>44274</v>
      </c>
      <c r="C3130" s="1" t="n">
        <v>45211</v>
      </c>
      <c r="D3130" t="inlineStr">
        <is>
          <t>ÖSTERGÖTLANDS LÄN</t>
        </is>
      </c>
      <c r="E3130" t="inlineStr">
        <is>
          <t>LINKÖPING</t>
        </is>
      </c>
      <c r="F3130" t="inlineStr">
        <is>
          <t>Övriga Aktiebolag</t>
        </is>
      </c>
      <c r="G3130" t="n">
        <v>1.1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s="2" t="inlineStr"/>
    </row>
    <row r="3131" ht="15" customHeight="1">
      <c r="A3131" t="inlineStr">
        <is>
          <t>A 13735-2021</t>
        </is>
      </c>
      <c r="B3131" s="1" t="n">
        <v>44274</v>
      </c>
      <c r="C3131" s="1" t="n">
        <v>45211</v>
      </c>
      <c r="D3131" t="inlineStr">
        <is>
          <t>ÖSTERGÖTLANDS LÄN</t>
        </is>
      </c>
      <c r="E3131" t="inlineStr">
        <is>
          <t>BOXHOLM</t>
        </is>
      </c>
      <c r="G3131" t="n">
        <v>2.2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s="2" t="inlineStr"/>
    </row>
    <row r="3132" ht="15" customHeight="1">
      <c r="A3132" t="inlineStr">
        <is>
          <t>A 14115-2021</t>
        </is>
      </c>
      <c r="B3132" s="1" t="n">
        <v>44278</v>
      </c>
      <c r="C3132" s="1" t="n">
        <v>45211</v>
      </c>
      <c r="D3132" t="inlineStr">
        <is>
          <t>ÖSTERGÖTLANDS LÄN</t>
        </is>
      </c>
      <c r="E3132" t="inlineStr">
        <is>
          <t>ÅTVIDABERG</t>
        </is>
      </c>
      <c r="G3132" t="n">
        <v>5.9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s="2" t="inlineStr"/>
    </row>
    <row r="3133" ht="15" customHeight="1">
      <c r="A3133" t="inlineStr">
        <is>
          <t>A 14187-2021</t>
        </is>
      </c>
      <c r="B3133" s="1" t="n">
        <v>44278</v>
      </c>
      <c r="C3133" s="1" t="n">
        <v>45211</v>
      </c>
      <c r="D3133" t="inlineStr">
        <is>
          <t>ÖSTERGÖTLANDS LÄN</t>
        </is>
      </c>
      <c r="E3133" t="inlineStr">
        <is>
          <t>KINDA</t>
        </is>
      </c>
      <c r="G3133" t="n">
        <v>8.9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s="2" t="inlineStr"/>
    </row>
    <row r="3134" ht="15" customHeight="1">
      <c r="A3134" t="inlineStr">
        <is>
          <t>A 14423-2021</t>
        </is>
      </c>
      <c r="B3134" s="1" t="n">
        <v>44279</v>
      </c>
      <c r="C3134" s="1" t="n">
        <v>45211</v>
      </c>
      <c r="D3134" t="inlineStr">
        <is>
          <t>ÖSTERGÖTLANDS LÄN</t>
        </is>
      </c>
      <c r="E3134" t="inlineStr">
        <is>
          <t>BOXHOLM</t>
        </is>
      </c>
      <c r="F3134" t="inlineStr">
        <is>
          <t>Övriga Aktiebolag</t>
        </is>
      </c>
      <c r="G3134" t="n">
        <v>6.2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s="2" t="inlineStr"/>
    </row>
    <row r="3135" ht="15" customHeight="1">
      <c r="A3135" t="inlineStr">
        <is>
          <t>A 14480-2021</t>
        </is>
      </c>
      <c r="B3135" s="1" t="n">
        <v>44279</v>
      </c>
      <c r="C3135" s="1" t="n">
        <v>45211</v>
      </c>
      <c r="D3135" t="inlineStr">
        <is>
          <t>ÖSTERGÖTLANDS LÄN</t>
        </is>
      </c>
      <c r="E3135" t="inlineStr">
        <is>
          <t>NORRKÖPING</t>
        </is>
      </c>
      <c r="G3135" t="n">
        <v>1.2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s="2" t="inlineStr"/>
    </row>
    <row r="3136" ht="15" customHeight="1">
      <c r="A3136" t="inlineStr">
        <is>
          <t>A 14483-2021</t>
        </is>
      </c>
      <c r="B3136" s="1" t="n">
        <v>44279</v>
      </c>
      <c r="C3136" s="1" t="n">
        <v>45211</v>
      </c>
      <c r="D3136" t="inlineStr">
        <is>
          <t>ÖSTERGÖTLANDS LÄN</t>
        </is>
      </c>
      <c r="E3136" t="inlineStr">
        <is>
          <t>NORRKÖPING</t>
        </is>
      </c>
      <c r="G3136" t="n">
        <v>1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s="2" t="inlineStr"/>
    </row>
    <row r="3137" ht="15" customHeight="1">
      <c r="A3137" t="inlineStr">
        <is>
          <t>A 14484-2021</t>
        </is>
      </c>
      <c r="B3137" s="1" t="n">
        <v>44279</v>
      </c>
      <c r="C3137" s="1" t="n">
        <v>45211</v>
      </c>
      <c r="D3137" t="inlineStr">
        <is>
          <t>ÖSTERGÖTLANDS LÄN</t>
        </is>
      </c>
      <c r="E3137" t="inlineStr">
        <is>
          <t>NORRKÖPING</t>
        </is>
      </c>
      <c r="G3137" t="n">
        <v>3.4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s="2" t="inlineStr"/>
    </row>
    <row r="3138" ht="15" customHeight="1">
      <c r="A3138" t="inlineStr">
        <is>
          <t>A 14794-2021</t>
        </is>
      </c>
      <c r="B3138" s="1" t="n">
        <v>44280</v>
      </c>
      <c r="C3138" s="1" t="n">
        <v>45211</v>
      </c>
      <c r="D3138" t="inlineStr">
        <is>
          <t>ÖSTERGÖTLANDS LÄN</t>
        </is>
      </c>
      <c r="E3138" t="inlineStr">
        <is>
          <t>MOTALA</t>
        </is>
      </c>
      <c r="F3138" t="inlineStr">
        <is>
          <t>Sveaskog</t>
        </is>
      </c>
      <c r="G3138" t="n">
        <v>7.3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s="2" t="inlineStr"/>
    </row>
    <row r="3139" ht="15" customHeight="1">
      <c r="A3139" t="inlineStr">
        <is>
          <t>A 15420-2021</t>
        </is>
      </c>
      <c r="B3139" s="1" t="n">
        <v>44284</v>
      </c>
      <c r="C3139" s="1" t="n">
        <v>45211</v>
      </c>
      <c r="D3139" t="inlineStr">
        <is>
          <t>ÖSTERGÖTLANDS LÄN</t>
        </is>
      </c>
      <c r="E3139" t="inlineStr">
        <is>
          <t>KINDA</t>
        </is>
      </c>
      <c r="G3139" t="n">
        <v>4.1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s="2" t="inlineStr"/>
    </row>
    <row r="3140" ht="15" customHeight="1">
      <c r="A3140" t="inlineStr">
        <is>
          <t>A 15434-2021</t>
        </is>
      </c>
      <c r="B3140" s="1" t="n">
        <v>44285</v>
      </c>
      <c r="C3140" s="1" t="n">
        <v>45211</v>
      </c>
      <c r="D3140" t="inlineStr">
        <is>
          <t>ÖSTERGÖTLANDS LÄN</t>
        </is>
      </c>
      <c r="E3140" t="inlineStr">
        <is>
          <t>FINSPÅNG</t>
        </is>
      </c>
      <c r="F3140" t="inlineStr">
        <is>
          <t>Holmen skog AB</t>
        </is>
      </c>
      <c r="G3140" t="n">
        <v>3.3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s="2" t="inlineStr"/>
    </row>
    <row r="3141" ht="15" customHeight="1">
      <c r="A3141" t="inlineStr">
        <is>
          <t>A 15507-2021</t>
        </is>
      </c>
      <c r="B3141" s="1" t="n">
        <v>44285</v>
      </c>
      <c r="C3141" s="1" t="n">
        <v>45211</v>
      </c>
      <c r="D3141" t="inlineStr">
        <is>
          <t>ÖSTERGÖTLANDS LÄN</t>
        </is>
      </c>
      <c r="E3141" t="inlineStr">
        <is>
          <t>BOXHOLM</t>
        </is>
      </c>
      <c r="G3141" t="n">
        <v>1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s="2" t="inlineStr"/>
    </row>
    <row r="3142" ht="15" customHeight="1">
      <c r="A3142" t="inlineStr">
        <is>
          <t>A 15870-2021</t>
        </is>
      </c>
      <c r="B3142" s="1" t="n">
        <v>44286</v>
      </c>
      <c r="C3142" s="1" t="n">
        <v>45211</v>
      </c>
      <c r="D3142" t="inlineStr">
        <is>
          <t>ÖSTERGÖTLANDS LÄN</t>
        </is>
      </c>
      <c r="E3142" t="inlineStr">
        <is>
          <t>NORRKÖPING</t>
        </is>
      </c>
      <c r="G3142" t="n">
        <v>3.3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s="2" t="inlineStr"/>
    </row>
    <row r="3143" ht="15" customHeight="1">
      <c r="A3143" t="inlineStr">
        <is>
          <t>A 15866-2021</t>
        </is>
      </c>
      <c r="B3143" s="1" t="n">
        <v>44286</v>
      </c>
      <c r="C3143" s="1" t="n">
        <v>45211</v>
      </c>
      <c r="D3143" t="inlineStr">
        <is>
          <t>ÖSTERGÖTLANDS LÄN</t>
        </is>
      </c>
      <c r="E3143" t="inlineStr">
        <is>
          <t>NORRKÖPING</t>
        </is>
      </c>
      <c r="G3143" t="n">
        <v>0.8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s="2" t="inlineStr"/>
    </row>
    <row r="3144" ht="15" customHeight="1">
      <c r="A3144" t="inlineStr">
        <is>
          <t>A 16057-2021</t>
        </is>
      </c>
      <c r="B3144" s="1" t="n">
        <v>44287</v>
      </c>
      <c r="C3144" s="1" t="n">
        <v>45211</v>
      </c>
      <c r="D3144" t="inlineStr">
        <is>
          <t>ÖSTERGÖTLANDS LÄN</t>
        </is>
      </c>
      <c r="E3144" t="inlineStr">
        <is>
          <t>VALDEMARSVIK</t>
        </is>
      </c>
      <c r="G3144" t="n">
        <v>2.3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s="2" t="inlineStr"/>
    </row>
    <row r="3145" ht="15" customHeight="1">
      <c r="A3145" t="inlineStr">
        <is>
          <t>A 16365-2021</t>
        </is>
      </c>
      <c r="B3145" s="1" t="n">
        <v>44292</v>
      </c>
      <c r="C3145" s="1" t="n">
        <v>45211</v>
      </c>
      <c r="D3145" t="inlineStr">
        <is>
          <t>ÖSTERGÖTLANDS LÄN</t>
        </is>
      </c>
      <c r="E3145" t="inlineStr">
        <is>
          <t>ÅTVIDABERG</t>
        </is>
      </c>
      <c r="G3145" t="n">
        <v>4.1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s="2" t="inlineStr"/>
    </row>
    <row r="3146" ht="15" customHeight="1">
      <c r="A3146" t="inlineStr">
        <is>
          <t>A 16292-2021</t>
        </is>
      </c>
      <c r="B3146" s="1" t="n">
        <v>44292</v>
      </c>
      <c r="C3146" s="1" t="n">
        <v>45211</v>
      </c>
      <c r="D3146" t="inlineStr">
        <is>
          <t>ÖSTERGÖTLANDS LÄN</t>
        </is>
      </c>
      <c r="E3146" t="inlineStr">
        <is>
          <t>ÅTVIDABERG</t>
        </is>
      </c>
      <c r="G3146" t="n">
        <v>0.9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s="2" t="inlineStr"/>
    </row>
    <row r="3147" ht="15" customHeight="1">
      <c r="A3147" t="inlineStr">
        <is>
          <t>A 16367-2021</t>
        </is>
      </c>
      <c r="B3147" s="1" t="n">
        <v>44292</v>
      </c>
      <c r="C3147" s="1" t="n">
        <v>45211</v>
      </c>
      <c r="D3147" t="inlineStr">
        <is>
          <t>ÖSTERGÖTLANDS LÄN</t>
        </is>
      </c>
      <c r="E3147" t="inlineStr">
        <is>
          <t>ÅTVIDABERG</t>
        </is>
      </c>
      <c r="G3147" t="n">
        <v>0.6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s="2" t="inlineStr"/>
    </row>
    <row r="3148" ht="15" customHeight="1">
      <c r="A3148" t="inlineStr">
        <is>
          <t>A 16382-2021</t>
        </is>
      </c>
      <c r="B3148" s="1" t="n">
        <v>44292</v>
      </c>
      <c r="C3148" s="1" t="n">
        <v>45211</v>
      </c>
      <c r="D3148" t="inlineStr">
        <is>
          <t>ÖSTERGÖTLANDS LÄN</t>
        </is>
      </c>
      <c r="E3148" t="inlineStr">
        <is>
          <t>YDRE</t>
        </is>
      </c>
      <c r="G3148" t="n">
        <v>1.8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s="2" t="inlineStr"/>
    </row>
    <row r="3149" ht="15" customHeight="1">
      <c r="A3149" t="inlineStr">
        <is>
          <t>A 16258-2021</t>
        </is>
      </c>
      <c r="B3149" s="1" t="n">
        <v>44292</v>
      </c>
      <c r="C3149" s="1" t="n">
        <v>45211</v>
      </c>
      <c r="D3149" t="inlineStr">
        <is>
          <t>ÖSTERGÖTLANDS LÄN</t>
        </is>
      </c>
      <c r="E3149" t="inlineStr">
        <is>
          <t>ÅTVIDABERG</t>
        </is>
      </c>
      <c r="G3149" t="n">
        <v>0.6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s="2" t="inlineStr"/>
    </row>
    <row r="3150" ht="15" customHeight="1">
      <c r="A3150" t="inlineStr">
        <is>
          <t>A 16278-2021</t>
        </is>
      </c>
      <c r="B3150" s="1" t="n">
        <v>44292</v>
      </c>
      <c r="C3150" s="1" t="n">
        <v>45211</v>
      </c>
      <c r="D3150" t="inlineStr">
        <is>
          <t>ÖSTERGÖTLANDS LÄN</t>
        </is>
      </c>
      <c r="E3150" t="inlineStr">
        <is>
          <t>ÅTVIDABERG</t>
        </is>
      </c>
      <c r="G3150" t="n">
        <v>9.199999999999999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s="2" t="inlineStr"/>
    </row>
    <row r="3151" ht="15" customHeight="1">
      <c r="A3151" t="inlineStr">
        <is>
          <t>A 16364-2021</t>
        </is>
      </c>
      <c r="B3151" s="1" t="n">
        <v>44292</v>
      </c>
      <c r="C3151" s="1" t="n">
        <v>45211</v>
      </c>
      <c r="D3151" t="inlineStr">
        <is>
          <t>ÖSTERGÖTLANDS LÄN</t>
        </is>
      </c>
      <c r="E3151" t="inlineStr">
        <is>
          <t>ÅTVIDABERG</t>
        </is>
      </c>
      <c r="G3151" t="n">
        <v>5.3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s="2" t="inlineStr"/>
    </row>
    <row r="3152" ht="15" customHeight="1">
      <c r="A3152" t="inlineStr">
        <is>
          <t>A 16363-2021</t>
        </is>
      </c>
      <c r="B3152" s="1" t="n">
        <v>44292</v>
      </c>
      <c r="C3152" s="1" t="n">
        <v>45211</v>
      </c>
      <c r="D3152" t="inlineStr">
        <is>
          <t>ÖSTERGÖTLANDS LÄN</t>
        </is>
      </c>
      <c r="E3152" t="inlineStr">
        <is>
          <t>ÅTVIDABERG</t>
        </is>
      </c>
      <c r="G3152" t="n">
        <v>2.6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s="2" t="inlineStr"/>
    </row>
    <row r="3153" ht="15" customHeight="1">
      <c r="A3153" t="inlineStr">
        <is>
          <t>A 16369-2021</t>
        </is>
      </c>
      <c r="B3153" s="1" t="n">
        <v>44292</v>
      </c>
      <c r="C3153" s="1" t="n">
        <v>45211</v>
      </c>
      <c r="D3153" t="inlineStr">
        <is>
          <t>ÖSTERGÖTLANDS LÄN</t>
        </is>
      </c>
      <c r="E3153" t="inlineStr">
        <is>
          <t>ÅTVIDABERG</t>
        </is>
      </c>
      <c r="G3153" t="n">
        <v>5.6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s="2" t="inlineStr"/>
    </row>
    <row r="3154" ht="15" customHeight="1">
      <c r="A3154" t="inlineStr">
        <is>
          <t>A 16462-2021</t>
        </is>
      </c>
      <c r="B3154" s="1" t="n">
        <v>44293</v>
      </c>
      <c r="C3154" s="1" t="n">
        <v>45211</v>
      </c>
      <c r="D3154" t="inlineStr">
        <is>
          <t>ÖSTERGÖTLANDS LÄN</t>
        </is>
      </c>
      <c r="E3154" t="inlineStr">
        <is>
          <t>LINKÖPING</t>
        </is>
      </c>
      <c r="F3154" t="inlineStr">
        <is>
          <t>Allmännings- och besparingsskogar</t>
        </is>
      </c>
      <c r="G3154" t="n">
        <v>24.7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s="2" t="inlineStr"/>
    </row>
    <row r="3155" ht="15" customHeight="1">
      <c r="A3155" t="inlineStr">
        <is>
          <t>A 16480-2021</t>
        </is>
      </c>
      <c r="B3155" s="1" t="n">
        <v>44293</v>
      </c>
      <c r="C3155" s="1" t="n">
        <v>45211</v>
      </c>
      <c r="D3155" t="inlineStr">
        <is>
          <t>ÖSTERGÖTLANDS LÄN</t>
        </is>
      </c>
      <c r="E3155" t="inlineStr">
        <is>
          <t>ÅTVIDABERG</t>
        </is>
      </c>
      <c r="G3155" t="n">
        <v>0.9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s="2" t="inlineStr"/>
    </row>
    <row r="3156" ht="15" customHeight="1">
      <c r="A3156" t="inlineStr">
        <is>
          <t>A 16626-2021</t>
        </is>
      </c>
      <c r="B3156" s="1" t="n">
        <v>44294</v>
      </c>
      <c r="C3156" s="1" t="n">
        <v>45211</v>
      </c>
      <c r="D3156" t="inlineStr">
        <is>
          <t>ÖSTERGÖTLANDS LÄN</t>
        </is>
      </c>
      <c r="E3156" t="inlineStr">
        <is>
          <t>NORRKÖPING</t>
        </is>
      </c>
      <c r="G3156" t="n">
        <v>0.6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s="2" t="inlineStr"/>
    </row>
    <row r="3157" ht="15" customHeight="1">
      <c r="A3157" t="inlineStr">
        <is>
          <t>A 16715-2021</t>
        </is>
      </c>
      <c r="B3157" s="1" t="n">
        <v>44294</v>
      </c>
      <c r="C3157" s="1" t="n">
        <v>45211</v>
      </c>
      <c r="D3157" t="inlineStr">
        <is>
          <t>ÖSTERGÖTLANDS LÄN</t>
        </is>
      </c>
      <c r="E3157" t="inlineStr">
        <is>
          <t>LINKÖPING</t>
        </is>
      </c>
      <c r="G3157" t="n">
        <v>1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s="2" t="inlineStr"/>
    </row>
    <row r="3158" ht="15" customHeight="1">
      <c r="A3158" t="inlineStr">
        <is>
          <t>A 16892-2021</t>
        </is>
      </c>
      <c r="B3158" s="1" t="n">
        <v>44294</v>
      </c>
      <c r="C3158" s="1" t="n">
        <v>45211</v>
      </c>
      <c r="D3158" t="inlineStr">
        <is>
          <t>ÖSTERGÖTLANDS LÄN</t>
        </is>
      </c>
      <c r="E3158" t="inlineStr">
        <is>
          <t>ÅTVIDABERG</t>
        </is>
      </c>
      <c r="G3158" t="n">
        <v>2.1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s="2" t="inlineStr"/>
    </row>
    <row r="3159" ht="15" customHeight="1">
      <c r="A3159" t="inlineStr">
        <is>
          <t>A 16891-2021</t>
        </is>
      </c>
      <c r="B3159" s="1" t="n">
        <v>44294</v>
      </c>
      <c r="C3159" s="1" t="n">
        <v>45211</v>
      </c>
      <c r="D3159" t="inlineStr">
        <is>
          <t>ÖSTERGÖTLANDS LÄN</t>
        </is>
      </c>
      <c r="E3159" t="inlineStr">
        <is>
          <t>NORRKÖPING</t>
        </is>
      </c>
      <c r="G3159" t="n">
        <v>3.7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s="2" t="inlineStr"/>
    </row>
    <row r="3160" ht="15" customHeight="1">
      <c r="A3160" t="inlineStr">
        <is>
          <t>A 16579-2021</t>
        </is>
      </c>
      <c r="B3160" s="1" t="n">
        <v>44294</v>
      </c>
      <c r="C3160" s="1" t="n">
        <v>45211</v>
      </c>
      <c r="D3160" t="inlineStr">
        <is>
          <t>ÖSTERGÖTLANDS LÄN</t>
        </is>
      </c>
      <c r="E3160" t="inlineStr">
        <is>
          <t>KINDA</t>
        </is>
      </c>
      <c r="G3160" t="n">
        <v>0.8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s="2" t="inlineStr"/>
    </row>
    <row r="3161" ht="15" customHeight="1">
      <c r="A3161" t="inlineStr">
        <is>
          <t>A 16737-2021</t>
        </is>
      </c>
      <c r="B3161" s="1" t="n">
        <v>44294</v>
      </c>
      <c r="C3161" s="1" t="n">
        <v>45211</v>
      </c>
      <c r="D3161" t="inlineStr">
        <is>
          <t>ÖSTERGÖTLANDS LÄN</t>
        </is>
      </c>
      <c r="E3161" t="inlineStr">
        <is>
          <t>NORRKÖPING</t>
        </is>
      </c>
      <c r="G3161" t="n">
        <v>1.2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s="2" t="inlineStr"/>
    </row>
    <row r="3162" ht="15" customHeight="1">
      <c r="A3162" t="inlineStr">
        <is>
          <t>A 16659-2021</t>
        </is>
      </c>
      <c r="B3162" s="1" t="n">
        <v>44294</v>
      </c>
      <c r="C3162" s="1" t="n">
        <v>45211</v>
      </c>
      <c r="D3162" t="inlineStr">
        <is>
          <t>ÖSTERGÖTLANDS LÄN</t>
        </is>
      </c>
      <c r="E3162" t="inlineStr">
        <is>
          <t>SÖDERKÖPING</t>
        </is>
      </c>
      <c r="G3162" t="n">
        <v>9.6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s="2" t="inlineStr"/>
    </row>
    <row r="3163" ht="15" customHeight="1">
      <c r="A3163" t="inlineStr">
        <is>
          <t>A 17010-2021</t>
        </is>
      </c>
      <c r="B3163" s="1" t="n">
        <v>44295</v>
      </c>
      <c r="C3163" s="1" t="n">
        <v>45211</v>
      </c>
      <c r="D3163" t="inlineStr">
        <is>
          <t>ÖSTERGÖTLANDS LÄN</t>
        </is>
      </c>
      <c r="E3163" t="inlineStr">
        <is>
          <t>YDRE</t>
        </is>
      </c>
      <c r="G3163" t="n">
        <v>6.6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s="2" t="inlineStr"/>
    </row>
    <row r="3164" ht="15" customHeight="1">
      <c r="A3164" t="inlineStr">
        <is>
          <t>A 17246-2021</t>
        </is>
      </c>
      <c r="B3164" s="1" t="n">
        <v>44298</v>
      </c>
      <c r="C3164" s="1" t="n">
        <v>45211</v>
      </c>
      <c r="D3164" t="inlineStr">
        <is>
          <t>ÖSTERGÖTLANDS LÄN</t>
        </is>
      </c>
      <c r="E3164" t="inlineStr">
        <is>
          <t>FINSPÅNG</t>
        </is>
      </c>
      <c r="G3164" t="n">
        <v>8.699999999999999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s="2" t="inlineStr"/>
    </row>
    <row r="3165" ht="15" customHeight="1">
      <c r="A3165" t="inlineStr">
        <is>
          <t>A 17307-2021</t>
        </is>
      </c>
      <c r="B3165" s="1" t="n">
        <v>44298</v>
      </c>
      <c r="C3165" s="1" t="n">
        <v>45211</v>
      </c>
      <c r="D3165" t="inlineStr">
        <is>
          <t>ÖSTERGÖTLANDS LÄN</t>
        </is>
      </c>
      <c r="E3165" t="inlineStr">
        <is>
          <t>YDRE</t>
        </is>
      </c>
      <c r="G3165" t="n">
        <v>3.3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s="2" t="inlineStr"/>
    </row>
    <row r="3166" ht="15" customHeight="1">
      <c r="A3166" t="inlineStr">
        <is>
          <t>A 17636-2021</t>
        </is>
      </c>
      <c r="B3166" s="1" t="n">
        <v>44300</v>
      </c>
      <c r="C3166" s="1" t="n">
        <v>45211</v>
      </c>
      <c r="D3166" t="inlineStr">
        <is>
          <t>ÖSTERGÖTLANDS LÄN</t>
        </is>
      </c>
      <c r="E3166" t="inlineStr">
        <is>
          <t>NORRKÖPING</t>
        </is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s="2" t="inlineStr"/>
    </row>
    <row r="3167" ht="15" customHeight="1">
      <c r="A3167" t="inlineStr">
        <is>
          <t>A 17797-2021</t>
        </is>
      </c>
      <c r="B3167" s="1" t="n">
        <v>44300</v>
      </c>
      <c r="C3167" s="1" t="n">
        <v>45211</v>
      </c>
      <c r="D3167" t="inlineStr">
        <is>
          <t>ÖSTERGÖTLANDS LÄN</t>
        </is>
      </c>
      <c r="E3167" t="inlineStr">
        <is>
          <t>MJÖLBY</t>
        </is>
      </c>
      <c r="G3167" t="n">
        <v>4.4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s="2" t="inlineStr"/>
    </row>
    <row r="3168" ht="15" customHeight="1">
      <c r="A3168" t="inlineStr">
        <is>
          <t>A 17633-2021</t>
        </is>
      </c>
      <c r="B3168" s="1" t="n">
        <v>44300</v>
      </c>
      <c r="C3168" s="1" t="n">
        <v>45211</v>
      </c>
      <c r="D3168" t="inlineStr">
        <is>
          <t>ÖSTERGÖTLANDS LÄN</t>
        </is>
      </c>
      <c r="E3168" t="inlineStr">
        <is>
          <t>NORRKÖPING</t>
        </is>
      </c>
      <c r="G3168" t="n">
        <v>0.4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s="2" t="inlineStr"/>
    </row>
    <row r="3169" ht="15" customHeight="1">
      <c r="A3169" t="inlineStr">
        <is>
          <t>A 17890-2021</t>
        </is>
      </c>
      <c r="B3169" s="1" t="n">
        <v>44301</v>
      </c>
      <c r="C3169" s="1" t="n">
        <v>45211</v>
      </c>
      <c r="D3169" t="inlineStr">
        <is>
          <t>ÖSTERGÖTLANDS LÄN</t>
        </is>
      </c>
      <c r="E3169" t="inlineStr">
        <is>
          <t>NORRKÖPING</t>
        </is>
      </c>
      <c r="G3169" t="n">
        <v>2.4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s="2" t="inlineStr"/>
    </row>
    <row r="3170" ht="15" customHeight="1">
      <c r="A3170" t="inlineStr">
        <is>
          <t>A 17901-2021</t>
        </is>
      </c>
      <c r="B3170" s="1" t="n">
        <v>44301</v>
      </c>
      <c r="C3170" s="1" t="n">
        <v>45211</v>
      </c>
      <c r="D3170" t="inlineStr">
        <is>
          <t>ÖSTERGÖTLANDS LÄN</t>
        </is>
      </c>
      <c r="E3170" t="inlineStr">
        <is>
          <t>NORRKÖPING</t>
        </is>
      </c>
      <c r="G3170" t="n">
        <v>1.6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s="2" t="inlineStr"/>
    </row>
    <row r="3171" ht="15" customHeight="1">
      <c r="A3171" t="inlineStr">
        <is>
          <t>A 17523-2021</t>
        </is>
      </c>
      <c r="B3171" s="1" t="n">
        <v>44301</v>
      </c>
      <c r="C3171" s="1" t="n">
        <v>45211</v>
      </c>
      <c r="D3171" t="inlineStr">
        <is>
          <t>ÖSTERGÖTLANDS LÄN</t>
        </is>
      </c>
      <c r="E3171" t="inlineStr">
        <is>
          <t>NORRKÖPING</t>
        </is>
      </c>
      <c r="G3171" t="n">
        <v>3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s="2" t="inlineStr"/>
    </row>
    <row r="3172" ht="15" customHeight="1">
      <c r="A3172" t="inlineStr">
        <is>
          <t>A 18184-2021</t>
        </is>
      </c>
      <c r="B3172" s="1" t="n">
        <v>44302</v>
      </c>
      <c r="C3172" s="1" t="n">
        <v>45211</v>
      </c>
      <c r="D3172" t="inlineStr">
        <is>
          <t>ÖSTERGÖTLANDS LÄN</t>
        </is>
      </c>
      <c r="E3172" t="inlineStr">
        <is>
          <t>FINSPÅNG</t>
        </is>
      </c>
      <c r="G3172" t="n">
        <v>5.4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s="2" t="inlineStr"/>
    </row>
    <row r="3173" ht="15" customHeight="1">
      <c r="A3173" t="inlineStr">
        <is>
          <t>A 18009-2021</t>
        </is>
      </c>
      <c r="B3173" s="1" t="n">
        <v>44302</v>
      </c>
      <c r="C3173" s="1" t="n">
        <v>45211</v>
      </c>
      <c r="D3173" t="inlineStr">
        <is>
          <t>ÖSTERGÖTLANDS LÄN</t>
        </is>
      </c>
      <c r="E3173" t="inlineStr">
        <is>
          <t>NORRKÖPING</t>
        </is>
      </c>
      <c r="G3173" t="n">
        <v>0.5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s="2" t="inlineStr"/>
    </row>
    <row r="3174" ht="15" customHeight="1">
      <c r="A3174" t="inlineStr">
        <is>
          <t>A 18145-2021</t>
        </is>
      </c>
      <c r="B3174" s="1" t="n">
        <v>44302</v>
      </c>
      <c r="C3174" s="1" t="n">
        <v>45211</v>
      </c>
      <c r="D3174" t="inlineStr">
        <is>
          <t>ÖSTERGÖTLANDS LÄN</t>
        </is>
      </c>
      <c r="E3174" t="inlineStr">
        <is>
          <t>LINKÖPING</t>
        </is>
      </c>
      <c r="G3174" t="n">
        <v>2.4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s="2" t="inlineStr"/>
    </row>
    <row r="3175" ht="15" customHeight="1">
      <c r="A3175" t="inlineStr">
        <is>
          <t>A 18361-2021</t>
        </is>
      </c>
      <c r="B3175" s="1" t="n">
        <v>44305</v>
      </c>
      <c r="C3175" s="1" t="n">
        <v>45211</v>
      </c>
      <c r="D3175" t="inlineStr">
        <is>
          <t>ÖSTERGÖTLANDS LÄN</t>
        </is>
      </c>
      <c r="E3175" t="inlineStr">
        <is>
          <t>FINSPÅNG</t>
        </is>
      </c>
      <c r="F3175" t="inlineStr">
        <is>
          <t>Holmen skog AB</t>
        </is>
      </c>
      <c r="G3175" t="n">
        <v>3.8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s="2" t="inlineStr"/>
    </row>
    <row r="3176" ht="15" customHeight="1">
      <c r="A3176" t="inlineStr">
        <is>
          <t>A 18318-2021</t>
        </is>
      </c>
      <c r="B3176" s="1" t="n">
        <v>44305</v>
      </c>
      <c r="C3176" s="1" t="n">
        <v>45211</v>
      </c>
      <c r="D3176" t="inlineStr">
        <is>
          <t>ÖSTERGÖTLANDS LÄN</t>
        </is>
      </c>
      <c r="E3176" t="inlineStr">
        <is>
          <t>ÅTVIDABERG</t>
        </is>
      </c>
      <c r="G3176" t="n">
        <v>2.7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s="2" t="inlineStr"/>
    </row>
    <row r="3177" ht="15" customHeight="1">
      <c r="A3177" t="inlineStr">
        <is>
          <t>A 18360-2021</t>
        </is>
      </c>
      <c r="B3177" s="1" t="n">
        <v>44305</v>
      </c>
      <c r="C3177" s="1" t="n">
        <v>45211</v>
      </c>
      <c r="D3177" t="inlineStr">
        <is>
          <t>ÖSTERGÖTLANDS LÄN</t>
        </is>
      </c>
      <c r="E3177" t="inlineStr">
        <is>
          <t>FINSPÅNG</t>
        </is>
      </c>
      <c r="F3177" t="inlineStr">
        <is>
          <t>Holmen skog AB</t>
        </is>
      </c>
      <c r="G3177" t="n">
        <v>1.1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s="2" t="inlineStr"/>
    </row>
    <row r="3178" ht="15" customHeight="1">
      <c r="A3178" t="inlineStr">
        <is>
          <t>A 18324-2021</t>
        </is>
      </c>
      <c r="B3178" s="1" t="n">
        <v>44305</v>
      </c>
      <c r="C3178" s="1" t="n">
        <v>45211</v>
      </c>
      <c r="D3178" t="inlineStr">
        <is>
          <t>ÖSTERGÖTLANDS LÄN</t>
        </is>
      </c>
      <c r="E3178" t="inlineStr">
        <is>
          <t>YDRE</t>
        </is>
      </c>
      <c r="F3178" t="inlineStr">
        <is>
          <t>Kyrkan</t>
        </is>
      </c>
      <c r="G3178" t="n">
        <v>1.2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s="2" t="inlineStr"/>
    </row>
    <row r="3179" ht="15" customHeight="1">
      <c r="A3179" t="inlineStr">
        <is>
          <t>A 18262-2021</t>
        </is>
      </c>
      <c r="B3179" s="1" t="n">
        <v>44305</v>
      </c>
      <c r="C3179" s="1" t="n">
        <v>45211</v>
      </c>
      <c r="D3179" t="inlineStr">
        <is>
          <t>ÖSTERGÖTLANDS LÄN</t>
        </is>
      </c>
      <c r="E3179" t="inlineStr">
        <is>
          <t>FINSPÅNG</t>
        </is>
      </c>
      <c r="G3179" t="n">
        <v>1.2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s="2" t="inlineStr"/>
    </row>
    <row r="3180" ht="15" customHeight="1">
      <c r="A3180" t="inlineStr">
        <is>
          <t>A 18314-2021</t>
        </is>
      </c>
      <c r="B3180" s="1" t="n">
        <v>44305</v>
      </c>
      <c r="C3180" s="1" t="n">
        <v>45211</v>
      </c>
      <c r="D3180" t="inlineStr">
        <is>
          <t>ÖSTERGÖTLANDS LÄN</t>
        </is>
      </c>
      <c r="E3180" t="inlineStr">
        <is>
          <t>YDRE</t>
        </is>
      </c>
      <c r="F3180" t="inlineStr">
        <is>
          <t>Kyrkan</t>
        </is>
      </c>
      <c r="G3180" t="n">
        <v>3.6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s="2" t="inlineStr"/>
    </row>
    <row r="3181" ht="15" customHeight="1">
      <c r="A3181" t="inlineStr">
        <is>
          <t>A 18326-2021</t>
        </is>
      </c>
      <c r="B3181" s="1" t="n">
        <v>44305</v>
      </c>
      <c r="C3181" s="1" t="n">
        <v>45211</v>
      </c>
      <c r="D3181" t="inlineStr">
        <is>
          <t>ÖSTERGÖTLANDS LÄN</t>
        </is>
      </c>
      <c r="E3181" t="inlineStr">
        <is>
          <t>YDRE</t>
        </is>
      </c>
      <c r="F3181" t="inlineStr">
        <is>
          <t>Kyrkan</t>
        </is>
      </c>
      <c r="G3181" t="n">
        <v>0.9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s="2" t="inlineStr"/>
    </row>
    <row r="3182" ht="15" customHeight="1">
      <c r="A3182" t="inlineStr">
        <is>
          <t>A 18549-2021</t>
        </is>
      </c>
      <c r="B3182" s="1" t="n">
        <v>44306</v>
      </c>
      <c r="C3182" s="1" t="n">
        <v>45211</v>
      </c>
      <c r="D3182" t="inlineStr">
        <is>
          <t>ÖSTERGÖTLANDS LÄN</t>
        </is>
      </c>
      <c r="E3182" t="inlineStr">
        <is>
          <t>NORRKÖPING</t>
        </is>
      </c>
      <c r="G3182" t="n">
        <v>1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s="2" t="inlineStr"/>
    </row>
    <row r="3183" ht="15" customHeight="1">
      <c r="A3183" t="inlineStr">
        <is>
          <t>A 18765-2021</t>
        </is>
      </c>
      <c r="B3183" s="1" t="n">
        <v>44307</v>
      </c>
      <c r="C3183" s="1" t="n">
        <v>45211</v>
      </c>
      <c r="D3183" t="inlineStr">
        <is>
          <t>ÖSTERGÖTLANDS LÄN</t>
        </is>
      </c>
      <c r="E3183" t="inlineStr">
        <is>
          <t>NORRKÖPING</t>
        </is>
      </c>
      <c r="G3183" t="n">
        <v>0.6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s="2" t="inlineStr"/>
    </row>
    <row r="3184" ht="15" customHeight="1">
      <c r="A3184" t="inlineStr">
        <is>
          <t>A 18785-2021</t>
        </is>
      </c>
      <c r="B3184" s="1" t="n">
        <v>44307</v>
      </c>
      <c r="C3184" s="1" t="n">
        <v>45211</v>
      </c>
      <c r="D3184" t="inlineStr">
        <is>
          <t>ÖSTERGÖTLANDS LÄN</t>
        </is>
      </c>
      <c r="E3184" t="inlineStr">
        <is>
          <t>MOTALA</t>
        </is>
      </c>
      <c r="G3184" t="n">
        <v>1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s="2" t="inlineStr"/>
    </row>
    <row r="3185" ht="15" customHeight="1">
      <c r="A3185" t="inlineStr">
        <is>
          <t>A 18840-2021</t>
        </is>
      </c>
      <c r="B3185" s="1" t="n">
        <v>44307</v>
      </c>
      <c r="C3185" s="1" t="n">
        <v>45211</v>
      </c>
      <c r="D3185" t="inlineStr">
        <is>
          <t>ÖSTERGÖTLANDS LÄN</t>
        </is>
      </c>
      <c r="E3185" t="inlineStr">
        <is>
          <t>ÖDESHÖG</t>
        </is>
      </c>
      <c r="G3185" t="n">
        <v>1.4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s="2" t="inlineStr"/>
    </row>
    <row r="3186" ht="15" customHeight="1">
      <c r="A3186" t="inlineStr">
        <is>
          <t>A 19071-2021</t>
        </is>
      </c>
      <c r="B3186" s="1" t="n">
        <v>44308</v>
      </c>
      <c r="C3186" s="1" t="n">
        <v>45211</v>
      </c>
      <c r="D3186" t="inlineStr">
        <is>
          <t>ÖSTERGÖTLANDS LÄN</t>
        </is>
      </c>
      <c r="E3186" t="inlineStr">
        <is>
          <t>KINDA</t>
        </is>
      </c>
      <c r="G3186" t="n">
        <v>4.5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s="2" t="inlineStr"/>
    </row>
    <row r="3187" ht="15" customHeight="1">
      <c r="A3187" t="inlineStr">
        <is>
          <t>A 18956-2021</t>
        </is>
      </c>
      <c r="B3187" s="1" t="n">
        <v>44308</v>
      </c>
      <c r="C3187" s="1" t="n">
        <v>45211</v>
      </c>
      <c r="D3187" t="inlineStr">
        <is>
          <t>ÖSTERGÖTLANDS LÄN</t>
        </is>
      </c>
      <c r="E3187" t="inlineStr">
        <is>
          <t>LINKÖPING</t>
        </is>
      </c>
      <c r="G3187" t="n">
        <v>1.1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s="2" t="inlineStr"/>
    </row>
    <row r="3188" ht="15" customHeight="1">
      <c r="A3188" t="inlineStr">
        <is>
          <t>A 19104-2021</t>
        </is>
      </c>
      <c r="B3188" s="1" t="n">
        <v>44308</v>
      </c>
      <c r="C3188" s="1" t="n">
        <v>45211</v>
      </c>
      <c r="D3188" t="inlineStr">
        <is>
          <t>ÖSTERGÖTLANDS LÄN</t>
        </is>
      </c>
      <c r="E3188" t="inlineStr">
        <is>
          <t>MOTALA</t>
        </is>
      </c>
      <c r="F3188" t="inlineStr">
        <is>
          <t>Allmännings- och besparingsskogar</t>
        </is>
      </c>
      <c r="G3188" t="n">
        <v>4.4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s="2" t="inlineStr"/>
    </row>
    <row r="3189" ht="15" customHeight="1">
      <c r="A3189" t="inlineStr">
        <is>
          <t>A 19187-2021</t>
        </is>
      </c>
      <c r="B3189" s="1" t="n">
        <v>44308</v>
      </c>
      <c r="C3189" s="1" t="n">
        <v>45211</v>
      </c>
      <c r="D3189" t="inlineStr">
        <is>
          <t>ÖSTERGÖTLANDS LÄN</t>
        </is>
      </c>
      <c r="E3189" t="inlineStr">
        <is>
          <t>LINKÖPING</t>
        </is>
      </c>
      <c r="F3189" t="inlineStr">
        <is>
          <t>Allmännings- och besparingsskogar</t>
        </is>
      </c>
      <c r="G3189" t="n">
        <v>20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s="2" t="inlineStr"/>
    </row>
    <row r="3190" ht="15" customHeight="1">
      <c r="A3190" t="inlineStr">
        <is>
          <t>A 18988-2021</t>
        </is>
      </c>
      <c r="B3190" s="1" t="n">
        <v>44308</v>
      </c>
      <c r="C3190" s="1" t="n">
        <v>45211</v>
      </c>
      <c r="D3190" t="inlineStr">
        <is>
          <t>ÖSTERGÖTLANDS LÄN</t>
        </is>
      </c>
      <c r="E3190" t="inlineStr">
        <is>
          <t>FINSPÅNG</t>
        </is>
      </c>
      <c r="F3190" t="inlineStr">
        <is>
          <t>Holmen skog AB</t>
        </is>
      </c>
      <c r="G3190" t="n">
        <v>0.5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s="2" t="inlineStr"/>
    </row>
    <row r="3191" ht="15" customHeight="1">
      <c r="A3191" t="inlineStr">
        <is>
          <t>A 19050-2021</t>
        </is>
      </c>
      <c r="B3191" s="1" t="n">
        <v>44308</v>
      </c>
      <c r="C3191" s="1" t="n">
        <v>45211</v>
      </c>
      <c r="D3191" t="inlineStr">
        <is>
          <t>ÖSTERGÖTLANDS LÄN</t>
        </is>
      </c>
      <c r="E3191" t="inlineStr">
        <is>
          <t>VALDEMARSVIK</t>
        </is>
      </c>
      <c r="G3191" t="n">
        <v>1.8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s="2" t="inlineStr"/>
    </row>
    <row r="3192" ht="15" customHeight="1">
      <c r="A3192" t="inlineStr">
        <is>
          <t>A 19119-2021</t>
        </is>
      </c>
      <c r="B3192" s="1" t="n">
        <v>44308</v>
      </c>
      <c r="C3192" s="1" t="n">
        <v>45211</v>
      </c>
      <c r="D3192" t="inlineStr">
        <is>
          <t>ÖSTERGÖTLANDS LÄN</t>
        </is>
      </c>
      <c r="E3192" t="inlineStr">
        <is>
          <t>NORRKÖPING</t>
        </is>
      </c>
      <c r="F3192" t="inlineStr">
        <is>
          <t>Allmännings- och besparingsskogar</t>
        </is>
      </c>
      <c r="G3192" t="n">
        <v>7.2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s="2" t="inlineStr"/>
    </row>
    <row r="3193" ht="15" customHeight="1">
      <c r="A3193" t="inlineStr">
        <is>
          <t>A 19329-2021</t>
        </is>
      </c>
      <c r="B3193" s="1" t="n">
        <v>44309</v>
      </c>
      <c r="C3193" s="1" t="n">
        <v>45211</v>
      </c>
      <c r="D3193" t="inlineStr">
        <is>
          <t>ÖSTERGÖTLANDS LÄN</t>
        </is>
      </c>
      <c r="E3193" t="inlineStr">
        <is>
          <t>KINDA</t>
        </is>
      </c>
      <c r="G3193" t="n">
        <v>0.8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s="2" t="inlineStr"/>
    </row>
    <row r="3194" ht="15" customHeight="1">
      <c r="A3194" t="inlineStr">
        <is>
          <t>A 19324-2021</t>
        </is>
      </c>
      <c r="B3194" s="1" t="n">
        <v>44309</v>
      </c>
      <c r="C3194" s="1" t="n">
        <v>45211</v>
      </c>
      <c r="D3194" t="inlineStr">
        <is>
          <t>ÖSTERGÖTLANDS LÄN</t>
        </is>
      </c>
      <c r="E3194" t="inlineStr">
        <is>
          <t>KINDA</t>
        </is>
      </c>
      <c r="G3194" t="n">
        <v>0.5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s="2" t="inlineStr"/>
    </row>
    <row r="3195" ht="15" customHeight="1">
      <c r="A3195" t="inlineStr">
        <is>
          <t>A 19634-2021</t>
        </is>
      </c>
      <c r="B3195" s="1" t="n">
        <v>44309</v>
      </c>
      <c r="C3195" s="1" t="n">
        <v>45211</v>
      </c>
      <c r="D3195" t="inlineStr">
        <is>
          <t>ÖSTERGÖTLANDS LÄN</t>
        </is>
      </c>
      <c r="E3195" t="inlineStr">
        <is>
          <t>MOTALA</t>
        </is>
      </c>
      <c r="G3195" t="n">
        <v>2.4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s="2" t="inlineStr"/>
    </row>
    <row r="3196" ht="15" customHeight="1">
      <c r="A3196" t="inlineStr">
        <is>
          <t>A 19631-2021</t>
        </is>
      </c>
      <c r="B3196" s="1" t="n">
        <v>44312</v>
      </c>
      <c r="C3196" s="1" t="n">
        <v>45211</v>
      </c>
      <c r="D3196" t="inlineStr">
        <is>
          <t>ÖSTERGÖTLANDS LÄN</t>
        </is>
      </c>
      <c r="E3196" t="inlineStr">
        <is>
          <t>NORRKÖPING</t>
        </is>
      </c>
      <c r="F3196" t="inlineStr">
        <is>
          <t>Holmen skog AB</t>
        </is>
      </c>
      <c r="G3196" t="n">
        <v>4.3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s="2" t="inlineStr"/>
    </row>
    <row r="3197" ht="15" customHeight="1">
      <c r="A3197" t="inlineStr">
        <is>
          <t>A 19582-2021</t>
        </is>
      </c>
      <c r="B3197" s="1" t="n">
        <v>44312</v>
      </c>
      <c r="C3197" s="1" t="n">
        <v>45211</v>
      </c>
      <c r="D3197" t="inlineStr">
        <is>
          <t>ÖSTERGÖTLANDS LÄN</t>
        </is>
      </c>
      <c r="E3197" t="inlineStr">
        <is>
          <t>NORRKÖPING</t>
        </is>
      </c>
      <c r="F3197" t="inlineStr">
        <is>
          <t>Holmen skog AB</t>
        </is>
      </c>
      <c r="G3197" t="n">
        <v>7.4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s="2" t="inlineStr"/>
    </row>
    <row r="3198" ht="15" customHeight="1">
      <c r="A3198" t="inlineStr">
        <is>
          <t>A 19610-2021</t>
        </is>
      </c>
      <c r="B3198" s="1" t="n">
        <v>44312</v>
      </c>
      <c r="C3198" s="1" t="n">
        <v>45211</v>
      </c>
      <c r="D3198" t="inlineStr">
        <is>
          <t>ÖSTERGÖTLANDS LÄN</t>
        </is>
      </c>
      <c r="E3198" t="inlineStr">
        <is>
          <t>NORRKÖPING</t>
        </is>
      </c>
      <c r="F3198" t="inlineStr">
        <is>
          <t>Holmen skog AB</t>
        </is>
      </c>
      <c r="G3198" t="n">
        <v>2.1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s="2" t="inlineStr"/>
    </row>
    <row r="3199" ht="15" customHeight="1">
      <c r="A3199" t="inlineStr">
        <is>
          <t>A 19799-2021</t>
        </is>
      </c>
      <c r="B3199" s="1" t="n">
        <v>44313</v>
      </c>
      <c r="C3199" s="1" t="n">
        <v>45211</v>
      </c>
      <c r="D3199" t="inlineStr">
        <is>
          <t>ÖSTERGÖTLANDS LÄN</t>
        </is>
      </c>
      <c r="E3199" t="inlineStr">
        <is>
          <t>MOTALA</t>
        </is>
      </c>
      <c r="F3199" t="inlineStr">
        <is>
          <t>Kyrkan</t>
        </is>
      </c>
      <c r="G3199" t="n">
        <v>5.7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s="2" t="inlineStr"/>
    </row>
    <row r="3200" ht="15" customHeight="1">
      <c r="A3200" t="inlineStr">
        <is>
          <t>A 19838-2021</t>
        </is>
      </c>
      <c r="B3200" s="1" t="n">
        <v>44313</v>
      </c>
      <c r="C3200" s="1" t="n">
        <v>45211</v>
      </c>
      <c r="D3200" t="inlineStr">
        <is>
          <t>ÖSTERGÖTLANDS LÄN</t>
        </is>
      </c>
      <c r="E3200" t="inlineStr">
        <is>
          <t>NORRKÖPING</t>
        </is>
      </c>
      <c r="F3200" t="inlineStr">
        <is>
          <t>Holmen skog AB</t>
        </is>
      </c>
      <c r="G3200" t="n">
        <v>1.3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s="2" t="inlineStr"/>
    </row>
    <row r="3201" ht="15" customHeight="1">
      <c r="A3201" t="inlineStr">
        <is>
          <t>A 19785-2021</t>
        </is>
      </c>
      <c r="B3201" s="1" t="n">
        <v>44313</v>
      </c>
      <c r="C3201" s="1" t="n">
        <v>45211</v>
      </c>
      <c r="D3201" t="inlineStr">
        <is>
          <t>ÖSTERGÖTLANDS LÄN</t>
        </is>
      </c>
      <c r="E3201" t="inlineStr">
        <is>
          <t>NORRKÖPING</t>
        </is>
      </c>
      <c r="F3201" t="inlineStr">
        <is>
          <t>Holmen skog AB</t>
        </is>
      </c>
      <c r="G3201" t="n">
        <v>1.1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s="2" t="inlineStr"/>
    </row>
    <row r="3202" ht="15" customHeight="1">
      <c r="A3202" t="inlineStr">
        <is>
          <t>A 19827-2021</t>
        </is>
      </c>
      <c r="B3202" s="1" t="n">
        <v>44313</v>
      </c>
      <c r="C3202" s="1" t="n">
        <v>45211</v>
      </c>
      <c r="D3202" t="inlineStr">
        <is>
          <t>ÖSTERGÖTLANDS LÄN</t>
        </is>
      </c>
      <c r="E3202" t="inlineStr">
        <is>
          <t>NORRKÖPING</t>
        </is>
      </c>
      <c r="F3202" t="inlineStr">
        <is>
          <t>Holmen skog AB</t>
        </is>
      </c>
      <c r="G3202" t="n">
        <v>0.5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s="2" t="inlineStr"/>
    </row>
    <row r="3203" ht="15" customHeight="1">
      <c r="A3203" t="inlineStr">
        <is>
          <t>A 19755-2021</t>
        </is>
      </c>
      <c r="B3203" s="1" t="n">
        <v>44313</v>
      </c>
      <c r="C3203" s="1" t="n">
        <v>45211</v>
      </c>
      <c r="D3203" t="inlineStr">
        <is>
          <t>ÖSTERGÖTLANDS LÄN</t>
        </is>
      </c>
      <c r="E3203" t="inlineStr">
        <is>
          <t>FINSPÅNG</t>
        </is>
      </c>
      <c r="G3203" t="n">
        <v>0.7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s="2" t="inlineStr"/>
    </row>
    <row r="3204" ht="15" customHeight="1">
      <c r="A3204" t="inlineStr">
        <is>
          <t>A 19891-2021</t>
        </is>
      </c>
      <c r="B3204" s="1" t="n">
        <v>44313</v>
      </c>
      <c r="C3204" s="1" t="n">
        <v>45211</v>
      </c>
      <c r="D3204" t="inlineStr">
        <is>
          <t>ÖSTERGÖTLANDS LÄN</t>
        </is>
      </c>
      <c r="E3204" t="inlineStr">
        <is>
          <t>MOTALA</t>
        </is>
      </c>
      <c r="G3204" t="n">
        <v>2.3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s="2" t="inlineStr"/>
    </row>
    <row r="3205" ht="15" customHeight="1">
      <c r="A3205" t="inlineStr">
        <is>
          <t>A 19971-2021</t>
        </is>
      </c>
      <c r="B3205" s="1" t="n">
        <v>44313</v>
      </c>
      <c r="C3205" s="1" t="n">
        <v>45211</v>
      </c>
      <c r="D3205" t="inlineStr">
        <is>
          <t>ÖSTERGÖTLANDS LÄN</t>
        </is>
      </c>
      <c r="E3205" t="inlineStr">
        <is>
          <t>FINSPÅNG</t>
        </is>
      </c>
      <c r="F3205" t="inlineStr">
        <is>
          <t>Holmen skog AB</t>
        </is>
      </c>
      <c r="G3205" t="n">
        <v>0.3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s="2" t="inlineStr"/>
    </row>
    <row r="3206" ht="15" customHeight="1">
      <c r="A3206" t="inlineStr">
        <is>
          <t>A 19987-2021</t>
        </is>
      </c>
      <c r="B3206" s="1" t="n">
        <v>44313</v>
      </c>
      <c r="C3206" s="1" t="n">
        <v>45211</v>
      </c>
      <c r="D3206" t="inlineStr">
        <is>
          <t>ÖSTERGÖTLANDS LÄN</t>
        </is>
      </c>
      <c r="E3206" t="inlineStr">
        <is>
          <t>FINSPÅNG</t>
        </is>
      </c>
      <c r="G3206" t="n">
        <v>3.9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s="2" t="inlineStr"/>
    </row>
    <row r="3207" ht="15" customHeight="1">
      <c r="A3207" t="inlineStr">
        <is>
          <t>A 20056-2021</t>
        </is>
      </c>
      <c r="B3207" s="1" t="n">
        <v>44314</v>
      </c>
      <c r="C3207" s="1" t="n">
        <v>45211</v>
      </c>
      <c r="D3207" t="inlineStr">
        <is>
          <t>ÖSTERGÖTLANDS LÄN</t>
        </is>
      </c>
      <c r="E3207" t="inlineStr">
        <is>
          <t>FINSPÅNG</t>
        </is>
      </c>
      <c r="F3207" t="inlineStr">
        <is>
          <t>Holmen skog AB</t>
        </is>
      </c>
      <c r="G3207" t="n">
        <v>1.7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s="2" t="inlineStr"/>
    </row>
    <row r="3208" ht="15" customHeight="1">
      <c r="A3208" t="inlineStr">
        <is>
          <t>A 20171-2021</t>
        </is>
      </c>
      <c r="B3208" s="1" t="n">
        <v>44314</v>
      </c>
      <c r="C3208" s="1" t="n">
        <v>45211</v>
      </c>
      <c r="D3208" t="inlineStr">
        <is>
          <t>ÖSTERGÖTLANDS LÄN</t>
        </is>
      </c>
      <c r="E3208" t="inlineStr">
        <is>
          <t>VALDEMARSVIK</t>
        </is>
      </c>
      <c r="G3208" t="n">
        <v>1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s="2" t="inlineStr"/>
    </row>
    <row r="3209" ht="15" customHeight="1">
      <c r="A3209" t="inlineStr">
        <is>
          <t>A 20226-2021</t>
        </is>
      </c>
      <c r="B3209" s="1" t="n">
        <v>44314</v>
      </c>
      <c r="C3209" s="1" t="n">
        <v>45211</v>
      </c>
      <c r="D3209" t="inlineStr">
        <is>
          <t>ÖSTERGÖTLANDS LÄN</t>
        </is>
      </c>
      <c r="E3209" t="inlineStr">
        <is>
          <t>FINSPÅNG</t>
        </is>
      </c>
      <c r="F3209" t="inlineStr">
        <is>
          <t>Holmen skog AB</t>
        </is>
      </c>
      <c r="G3209" t="n">
        <v>0.7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s="2" t="inlineStr"/>
    </row>
    <row r="3210" ht="15" customHeight="1">
      <c r="A3210" t="inlineStr">
        <is>
          <t>A 20287-2021</t>
        </is>
      </c>
      <c r="B3210" s="1" t="n">
        <v>44314</v>
      </c>
      <c r="C3210" s="1" t="n">
        <v>45211</v>
      </c>
      <c r="D3210" t="inlineStr">
        <is>
          <t>ÖSTERGÖTLANDS LÄN</t>
        </is>
      </c>
      <c r="E3210" t="inlineStr">
        <is>
          <t>FINSPÅNG</t>
        </is>
      </c>
      <c r="F3210" t="inlineStr">
        <is>
          <t>Holmen skog AB</t>
        </is>
      </c>
      <c r="G3210" t="n">
        <v>2.4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s="2" t="inlineStr"/>
    </row>
    <row r="3211" ht="15" customHeight="1">
      <c r="A3211" t="inlineStr">
        <is>
          <t>A 20083-2021</t>
        </is>
      </c>
      <c r="B3211" s="1" t="n">
        <v>44314</v>
      </c>
      <c r="C3211" s="1" t="n">
        <v>45211</v>
      </c>
      <c r="D3211" t="inlineStr">
        <is>
          <t>ÖSTERGÖTLANDS LÄN</t>
        </is>
      </c>
      <c r="E3211" t="inlineStr">
        <is>
          <t>KINDA</t>
        </is>
      </c>
      <c r="G3211" t="n">
        <v>2.7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s="2" t="inlineStr"/>
    </row>
    <row r="3212" ht="15" customHeight="1">
      <c r="A3212" t="inlineStr">
        <is>
          <t>A 20235-2021</t>
        </is>
      </c>
      <c r="B3212" s="1" t="n">
        <v>44314</v>
      </c>
      <c r="C3212" s="1" t="n">
        <v>45211</v>
      </c>
      <c r="D3212" t="inlineStr">
        <is>
          <t>ÖSTERGÖTLANDS LÄN</t>
        </is>
      </c>
      <c r="E3212" t="inlineStr">
        <is>
          <t>FINSPÅNG</t>
        </is>
      </c>
      <c r="F3212" t="inlineStr">
        <is>
          <t>Holmen skog AB</t>
        </is>
      </c>
      <c r="G3212" t="n">
        <v>2.7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s="2" t="inlineStr"/>
    </row>
    <row r="3213" ht="15" customHeight="1">
      <c r="A3213" t="inlineStr">
        <is>
          <t>A 20411-2021</t>
        </is>
      </c>
      <c r="B3213" s="1" t="n">
        <v>44315</v>
      </c>
      <c r="C3213" s="1" t="n">
        <v>45211</v>
      </c>
      <c r="D3213" t="inlineStr">
        <is>
          <t>ÖSTERGÖTLANDS LÄN</t>
        </is>
      </c>
      <c r="E3213" t="inlineStr">
        <is>
          <t>FINSPÅNG</t>
        </is>
      </c>
      <c r="F3213" t="inlineStr">
        <is>
          <t>Holmen skog AB</t>
        </is>
      </c>
      <c r="G3213" t="n">
        <v>0.2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s="2" t="inlineStr"/>
    </row>
    <row r="3214" ht="15" customHeight="1">
      <c r="A3214" t="inlineStr">
        <is>
          <t>A 20480-2021</t>
        </is>
      </c>
      <c r="B3214" s="1" t="n">
        <v>44315</v>
      </c>
      <c r="C3214" s="1" t="n">
        <v>45211</v>
      </c>
      <c r="D3214" t="inlineStr">
        <is>
          <t>ÖSTERGÖTLANDS LÄN</t>
        </is>
      </c>
      <c r="E3214" t="inlineStr">
        <is>
          <t>FINSPÅNG</t>
        </is>
      </c>
      <c r="F3214" t="inlineStr">
        <is>
          <t>Holmen skog AB</t>
        </is>
      </c>
      <c r="G3214" t="n">
        <v>5.4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s="2" t="inlineStr"/>
    </row>
    <row r="3215" ht="15" customHeight="1">
      <c r="A3215" t="inlineStr">
        <is>
          <t>A 20485-2021</t>
        </is>
      </c>
      <c r="B3215" s="1" t="n">
        <v>44315</v>
      </c>
      <c r="C3215" s="1" t="n">
        <v>45211</v>
      </c>
      <c r="D3215" t="inlineStr">
        <is>
          <t>ÖSTERGÖTLANDS LÄN</t>
        </is>
      </c>
      <c r="E3215" t="inlineStr">
        <is>
          <t>FINSPÅNG</t>
        </is>
      </c>
      <c r="F3215" t="inlineStr">
        <is>
          <t>Holmen skog AB</t>
        </is>
      </c>
      <c r="G3215" t="n">
        <v>4.9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s="2" t="inlineStr"/>
    </row>
    <row r="3216" ht="15" customHeight="1">
      <c r="A3216" t="inlineStr">
        <is>
          <t>A 20403-2021</t>
        </is>
      </c>
      <c r="B3216" s="1" t="n">
        <v>44315</v>
      </c>
      <c r="C3216" s="1" t="n">
        <v>45211</v>
      </c>
      <c r="D3216" t="inlineStr">
        <is>
          <t>ÖSTERGÖTLANDS LÄN</t>
        </is>
      </c>
      <c r="E3216" t="inlineStr">
        <is>
          <t>FINSPÅNG</t>
        </is>
      </c>
      <c r="F3216" t="inlineStr">
        <is>
          <t>Holmen skog AB</t>
        </is>
      </c>
      <c r="G3216" t="n">
        <v>1.5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s="2" t="inlineStr"/>
    </row>
    <row r="3217" ht="15" customHeight="1">
      <c r="A3217" t="inlineStr">
        <is>
          <t>A 20444-2021</t>
        </is>
      </c>
      <c r="B3217" s="1" t="n">
        <v>44315</v>
      </c>
      <c r="C3217" s="1" t="n">
        <v>45211</v>
      </c>
      <c r="D3217" t="inlineStr">
        <is>
          <t>ÖSTERGÖTLANDS LÄN</t>
        </is>
      </c>
      <c r="E3217" t="inlineStr">
        <is>
          <t>FINSPÅNG</t>
        </is>
      </c>
      <c r="F3217" t="inlineStr">
        <is>
          <t>Holmen skog AB</t>
        </is>
      </c>
      <c r="G3217" t="n">
        <v>2.3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s="2" t="inlineStr"/>
    </row>
    <row r="3218" ht="15" customHeight="1">
      <c r="A3218" t="inlineStr">
        <is>
          <t>A 20534-2021</t>
        </is>
      </c>
      <c r="B3218" s="1" t="n">
        <v>44315</v>
      </c>
      <c r="C3218" s="1" t="n">
        <v>45211</v>
      </c>
      <c r="D3218" t="inlineStr">
        <is>
          <t>ÖSTERGÖTLANDS LÄN</t>
        </is>
      </c>
      <c r="E3218" t="inlineStr">
        <is>
          <t>VALDEMARSVIK</t>
        </is>
      </c>
      <c r="G3218" t="n">
        <v>1.8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s="2" t="inlineStr"/>
    </row>
    <row r="3219" ht="15" customHeight="1">
      <c r="A3219" t="inlineStr">
        <is>
          <t>A 20629-2021</t>
        </is>
      </c>
      <c r="B3219" s="1" t="n">
        <v>44316</v>
      </c>
      <c r="C3219" s="1" t="n">
        <v>45211</v>
      </c>
      <c r="D3219" t="inlineStr">
        <is>
          <t>ÖSTERGÖTLANDS LÄN</t>
        </is>
      </c>
      <c r="E3219" t="inlineStr">
        <is>
          <t>YDRE</t>
        </is>
      </c>
      <c r="G3219" t="n">
        <v>3.8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s="2" t="inlineStr"/>
    </row>
    <row r="3220" ht="15" customHeight="1">
      <c r="A3220" t="inlineStr">
        <is>
          <t>A 21667-2021</t>
        </is>
      </c>
      <c r="B3220" s="1" t="n">
        <v>44316</v>
      </c>
      <c r="C3220" s="1" t="n">
        <v>45211</v>
      </c>
      <c r="D3220" t="inlineStr">
        <is>
          <t>ÖSTERGÖTLANDS LÄN</t>
        </is>
      </c>
      <c r="E3220" t="inlineStr">
        <is>
          <t>KINDA</t>
        </is>
      </c>
      <c r="G3220" t="n">
        <v>1.4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s="2" t="inlineStr"/>
    </row>
    <row r="3221" ht="15" customHeight="1">
      <c r="A3221" t="inlineStr">
        <is>
          <t>A 20914-2021</t>
        </is>
      </c>
      <c r="B3221" s="1" t="n">
        <v>44319</v>
      </c>
      <c r="C3221" s="1" t="n">
        <v>45211</v>
      </c>
      <c r="D3221" t="inlineStr">
        <is>
          <t>ÖSTERGÖTLANDS LÄN</t>
        </is>
      </c>
      <c r="E3221" t="inlineStr">
        <is>
          <t>KINDA</t>
        </is>
      </c>
      <c r="G3221" t="n">
        <v>2.2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s="2" t="inlineStr"/>
    </row>
    <row r="3222" ht="15" customHeight="1">
      <c r="A3222" t="inlineStr">
        <is>
          <t>A 20901-2021</t>
        </is>
      </c>
      <c r="B3222" s="1" t="n">
        <v>44319</v>
      </c>
      <c r="C3222" s="1" t="n">
        <v>45211</v>
      </c>
      <c r="D3222" t="inlineStr">
        <is>
          <t>ÖSTERGÖTLANDS LÄN</t>
        </is>
      </c>
      <c r="E3222" t="inlineStr">
        <is>
          <t>LINKÖPING</t>
        </is>
      </c>
      <c r="G3222" t="n">
        <v>1.4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s="2" t="inlineStr"/>
    </row>
    <row r="3223" ht="15" customHeight="1">
      <c r="A3223" t="inlineStr">
        <is>
          <t>A 20920-2021</t>
        </is>
      </c>
      <c r="B3223" s="1" t="n">
        <v>44319</v>
      </c>
      <c r="C3223" s="1" t="n">
        <v>45211</v>
      </c>
      <c r="D3223" t="inlineStr">
        <is>
          <t>ÖSTERGÖTLANDS LÄN</t>
        </is>
      </c>
      <c r="E3223" t="inlineStr">
        <is>
          <t>KINDA</t>
        </is>
      </c>
      <c r="G3223" t="n">
        <v>0.6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s="2" t="inlineStr"/>
    </row>
    <row r="3224" ht="15" customHeight="1">
      <c r="A3224" t="inlineStr">
        <is>
          <t>A 21286-2021</t>
        </is>
      </c>
      <c r="B3224" s="1" t="n">
        <v>44320</v>
      </c>
      <c r="C3224" s="1" t="n">
        <v>45211</v>
      </c>
      <c r="D3224" t="inlineStr">
        <is>
          <t>ÖSTERGÖTLANDS LÄN</t>
        </is>
      </c>
      <c r="E3224" t="inlineStr">
        <is>
          <t>MOTALA</t>
        </is>
      </c>
      <c r="F3224" t="inlineStr">
        <is>
          <t>Allmännings- och besparingsskogar</t>
        </is>
      </c>
      <c r="G3224" t="n">
        <v>0.9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s="2" t="inlineStr"/>
    </row>
    <row r="3225" ht="15" customHeight="1">
      <c r="A3225" t="inlineStr">
        <is>
          <t>A 21575-2021</t>
        </is>
      </c>
      <c r="B3225" s="1" t="n">
        <v>44321</v>
      </c>
      <c r="C3225" s="1" t="n">
        <v>45211</v>
      </c>
      <c r="D3225" t="inlineStr">
        <is>
          <t>ÖSTERGÖTLANDS LÄN</t>
        </is>
      </c>
      <c r="E3225" t="inlineStr">
        <is>
          <t>NORRKÖPING</t>
        </is>
      </c>
      <c r="F3225" t="inlineStr">
        <is>
          <t>Holmen skog AB</t>
        </is>
      </c>
      <c r="G3225" t="n">
        <v>2.6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s="2" t="inlineStr"/>
    </row>
    <row r="3226" ht="15" customHeight="1">
      <c r="A3226" t="inlineStr">
        <is>
          <t>A 21577-2021</t>
        </is>
      </c>
      <c r="B3226" s="1" t="n">
        <v>44321</v>
      </c>
      <c r="C3226" s="1" t="n">
        <v>45211</v>
      </c>
      <c r="D3226" t="inlineStr">
        <is>
          <t>ÖSTERGÖTLANDS LÄN</t>
        </is>
      </c>
      <c r="E3226" t="inlineStr">
        <is>
          <t>NORRKÖPING</t>
        </is>
      </c>
      <c r="F3226" t="inlineStr">
        <is>
          <t>Holmen skog AB</t>
        </is>
      </c>
      <c r="G3226" t="n">
        <v>0.6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s="2" t="inlineStr"/>
    </row>
    <row r="3227" ht="15" customHeight="1">
      <c r="A3227" t="inlineStr">
        <is>
          <t>A 21371-2021</t>
        </is>
      </c>
      <c r="B3227" s="1" t="n">
        <v>44321</v>
      </c>
      <c r="C3227" s="1" t="n">
        <v>45211</v>
      </c>
      <c r="D3227" t="inlineStr">
        <is>
          <t>ÖSTERGÖTLANDS LÄN</t>
        </is>
      </c>
      <c r="E3227" t="inlineStr">
        <is>
          <t>VALDEMARSVIK</t>
        </is>
      </c>
      <c r="G3227" t="n">
        <v>2.2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s="2" t="inlineStr"/>
    </row>
    <row r="3228" ht="15" customHeight="1">
      <c r="A3228" t="inlineStr">
        <is>
          <t>A 21874-2021</t>
        </is>
      </c>
      <c r="B3228" s="1" t="n">
        <v>44322</v>
      </c>
      <c r="C3228" s="1" t="n">
        <v>45211</v>
      </c>
      <c r="D3228" t="inlineStr">
        <is>
          <t>ÖSTERGÖTLANDS LÄN</t>
        </is>
      </c>
      <c r="E3228" t="inlineStr">
        <is>
          <t>VALDEMARSVIK</t>
        </is>
      </c>
      <c r="G3228" t="n">
        <v>0.8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s="2" t="inlineStr"/>
    </row>
    <row r="3229" ht="15" customHeight="1">
      <c r="A3229" t="inlineStr">
        <is>
          <t>A 22378-2021</t>
        </is>
      </c>
      <c r="B3229" s="1" t="n">
        <v>44322</v>
      </c>
      <c r="C3229" s="1" t="n">
        <v>45211</v>
      </c>
      <c r="D3229" t="inlineStr">
        <is>
          <t>ÖSTERGÖTLANDS LÄN</t>
        </is>
      </c>
      <c r="E3229" t="inlineStr">
        <is>
          <t>KINDA</t>
        </is>
      </c>
      <c r="G3229" t="n">
        <v>5.7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s="2" t="inlineStr"/>
    </row>
    <row r="3230" ht="15" customHeight="1">
      <c r="A3230" t="inlineStr">
        <is>
          <t>A 21863-2021</t>
        </is>
      </c>
      <c r="B3230" s="1" t="n">
        <v>44322</v>
      </c>
      <c r="C3230" s="1" t="n">
        <v>45211</v>
      </c>
      <c r="D3230" t="inlineStr">
        <is>
          <t>ÖSTERGÖTLANDS LÄN</t>
        </is>
      </c>
      <c r="E3230" t="inlineStr">
        <is>
          <t>NORRKÖPING</t>
        </is>
      </c>
      <c r="G3230" t="n">
        <v>8.300000000000001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s="2" t="inlineStr"/>
    </row>
    <row r="3231" ht="15" customHeight="1">
      <c r="A3231" t="inlineStr">
        <is>
          <t>A 22048-2021</t>
        </is>
      </c>
      <c r="B3231" s="1" t="n">
        <v>44323</v>
      </c>
      <c r="C3231" s="1" t="n">
        <v>45211</v>
      </c>
      <c r="D3231" t="inlineStr">
        <is>
          <t>ÖSTERGÖTLANDS LÄN</t>
        </is>
      </c>
      <c r="E3231" t="inlineStr">
        <is>
          <t>KINDA</t>
        </is>
      </c>
      <c r="G3231" t="n">
        <v>1.1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s="2" t="inlineStr"/>
    </row>
    <row r="3232" ht="15" customHeight="1">
      <c r="A3232" t="inlineStr">
        <is>
          <t>A 22493-2021</t>
        </is>
      </c>
      <c r="B3232" s="1" t="n">
        <v>44326</v>
      </c>
      <c r="C3232" s="1" t="n">
        <v>45211</v>
      </c>
      <c r="D3232" t="inlineStr">
        <is>
          <t>ÖSTERGÖTLANDS LÄN</t>
        </is>
      </c>
      <c r="E3232" t="inlineStr">
        <is>
          <t>NORRKÖPING</t>
        </is>
      </c>
      <c r="G3232" t="n">
        <v>0.6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s="2" t="inlineStr"/>
    </row>
    <row r="3233" ht="15" customHeight="1">
      <c r="A3233" t="inlineStr">
        <is>
          <t>A 22470-2021</t>
        </is>
      </c>
      <c r="B3233" s="1" t="n">
        <v>44326</v>
      </c>
      <c r="C3233" s="1" t="n">
        <v>45211</v>
      </c>
      <c r="D3233" t="inlineStr">
        <is>
          <t>ÖSTERGÖTLANDS LÄN</t>
        </is>
      </c>
      <c r="E3233" t="inlineStr">
        <is>
          <t>MOTALA</t>
        </is>
      </c>
      <c r="F3233" t="inlineStr">
        <is>
          <t>Sveaskog</t>
        </is>
      </c>
      <c r="G3233" t="n">
        <v>1.5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s="2" t="inlineStr"/>
    </row>
    <row r="3234" ht="15" customHeight="1">
      <c r="A3234" t="inlineStr">
        <is>
          <t>A 22491-2021</t>
        </is>
      </c>
      <c r="B3234" s="1" t="n">
        <v>44326</v>
      </c>
      <c r="C3234" s="1" t="n">
        <v>45211</v>
      </c>
      <c r="D3234" t="inlineStr">
        <is>
          <t>ÖSTERGÖTLANDS LÄN</t>
        </is>
      </c>
      <c r="E3234" t="inlineStr">
        <is>
          <t>NORRKÖPING</t>
        </is>
      </c>
      <c r="G3234" t="n">
        <v>4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s="2" t="inlineStr"/>
    </row>
    <row r="3235" ht="15" customHeight="1">
      <c r="A3235" t="inlineStr">
        <is>
          <t>A 22244-2021</t>
        </is>
      </c>
      <c r="B3235" s="1" t="n">
        <v>44326</v>
      </c>
      <c r="C3235" s="1" t="n">
        <v>45211</v>
      </c>
      <c r="D3235" t="inlineStr">
        <is>
          <t>ÖSTERGÖTLANDS LÄN</t>
        </is>
      </c>
      <c r="E3235" t="inlineStr">
        <is>
          <t>NORRKÖPING</t>
        </is>
      </c>
      <c r="G3235" t="n">
        <v>13.7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s="2" t="inlineStr"/>
    </row>
    <row r="3236" ht="15" customHeight="1">
      <c r="A3236" t="inlineStr">
        <is>
          <t>A 22276-2021</t>
        </is>
      </c>
      <c r="B3236" s="1" t="n">
        <v>44326</v>
      </c>
      <c r="C3236" s="1" t="n">
        <v>45211</v>
      </c>
      <c r="D3236" t="inlineStr">
        <is>
          <t>ÖSTERGÖTLANDS LÄN</t>
        </is>
      </c>
      <c r="E3236" t="inlineStr">
        <is>
          <t>KINDA</t>
        </is>
      </c>
      <c r="G3236" t="n">
        <v>0.1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s="2" t="inlineStr"/>
    </row>
    <row r="3237" ht="15" customHeight="1">
      <c r="A3237" t="inlineStr">
        <is>
          <t>A 22453-2021</t>
        </is>
      </c>
      <c r="B3237" s="1" t="n">
        <v>44326</v>
      </c>
      <c r="C3237" s="1" t="n">
        <v>45211</v>
      </c>
      <c r="D3237" t="inlineStr">
        <is>
          <t>ÖSTERGÖTLANDS LÄN</t>
        </is>
      </c>
      <c r="E3237" t="inlineStr">
        <is>
          <t>VALDEMARSVIK</t>
        </is>
      </c>
      <c r="G3237" t="n">
        <v>2.7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s="2" t="inlineStr"/>
    </row>
    <row r="3238" ht="15" customHeight="1">
      <c r="A3238" t="inlineStr">
        <is>
          <t>A 22489-2021</t>
        </is>
      </c>
      <c r="B3238" s="1" t="n">
        <v>44326</v>
      </c>
      <c r="C3238" s="1" t="n">
        <v>45211</v>
      </c>
      <c r="D3238" t="inlineStr">
        <is>
          <t>ÖSTERGÖTLANDS LÄN</t>
        </is>
      </c>
      <c r="E3238" t="inlineStr">
        <is>
          <t>NORRKÖPING</t>
        </is>
      </c>
      <c r="G3238" t="n">
        <v>3.8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s="2" t="inlineStr"/>
    </row>
    <row r="3239" ht="15" customHeight="1">
      <c r="A3239" t="inlineStr">
        <is>
          <t>A 22471-2021</t>
        </is>
      </c>
      <c r="B3239" s="1" t="n">
        <v>44326</v>
      </c>
      <c r="C3239" s="1" t="n">
        <v>45211</v>
      </c>
      <c r="D3239" t="inlineStr">
        <is>
          <t>ÖSTERGÖTLANDS LÄN</t>
        </is>
      </c>
      <c r="E3239" t="inlineStr">
        <is>
          <t>MOTALA</t>
        </is>
      </c>
      <c r="F3239" t="inlineStr">
        <is>
          <t>Sveaskog</t>
        </is>
      </c>
      <c r="G3239" t="n">
        <v>2.4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s="2" t="inlineStr"/>
    </row>
    <row r="3240" ht="15" customHeight="1">
      <c r="A3240" t="inlineStr">
        <is>
          <t>A 22492-2021</t>
        </is>
      </c>
      <c r="B3240" s="1" t="n">
        <v>44326</v>
      </c>
      <c r="C3240" s="1" t="n">
        <v>45211</v>
      </c>
      <c r="D3240" t="inlineStr">
        <is>
          <t>ÖSTERGÖTLANDS LÄN</t>
        </is>
      </c>
      <c r="E3240" t="inlineStr">
        <is>
          <t>NORRKÖPING</t>
        </is>
      </c>
      <c r="G3240" t="n">
        <v>2.1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s="2" t="inlineStr"/>
    </row>
    <row r="3241" ht="15" customHeight="1">
      <c r="A3241" t="inlineStr">
        <is>
          <t>A 22573-2021</t>
        </is>
      </c>
      <c r="B3241" s="1" t="n">
        <v>44327</v>
      </c>
      <c r="C3241" s="1" t="n">
        <v>45211</v>
      </c>
      <c r="D3241" t="inlineStr">
        <is>
          <t>ÖSTERGÖTLANDS LÄN</t>
        </is>
      </c>
      <c r="E3241" t="inlineStr">
        <is>
          <t>ÅTVIDABERG</t>
        </is>
      </c>
      <c r="F3241" t="inlineStr">
        <is>
          <t>Övriga Aktiebolag</t>
        </is>
      </c>
      <c r="G3241" t="n">
        <v>2.9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s="2" t="inlineStr"/>
    </row>
    <row r="3242" ht="15" customHeight="1">
      <c r="A3242" t="inlineStr">
        <is>
          <t>A 22767-2021</t>
        </is>
      </c>
      <c r="B3242" s="1" t="n">
        <v>44327</v>
      </c>
      <c r="C3242" s="1" t="n">
        <v>45211</v>
      </c>
      <c r="D3242" t="inlineStr">
        <is>
          <t>ÖSTERGÖTLANDS LÄN</t>
        </is>
      </c>
      <c r="E3242" t="inlineStr">
        <is>
          <t>MOTALA</t>
        </is>
      </c>
      <c r="G3242" t="n">
        <v>2.9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s="2" t="inlineStr"/>
    </row>
    <row r="3243" ht="15" customHeight="1">
      <c r="A3243" t="inlineStr">
        <is>
          <t>A 22886-2021</t>
        </is>
      </c>
      <c r="B3243" s="1" t="n">
        <v>44328</v>
      </c>
      <c r="C3243" s="1" t="n">
        <v>45211</v>
      </c>
      <c r="D3243" t="inlineStr">
        <is>
          <t>ÖSTERGÖTLANDS LÄN</t>
        </is>
      </c>
      <c r="E3243" t="inlineStr">
        <is>
          <t>NORRKÖPING</t>
        </is>
      </c>
      <c r="F3243" t="inlineStr">
        <is>
          <t>Holmen skog AB</t>
        </is>
      </c>
      <c r="G3243" t="n">
        <v>1.8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s="2" t="inlineStr"/>
    </row>
    <row r="3244" ht="15" customHeight="1">
      <c r="A3244" t="inlineStr">
        <is>
          <t>A 23438-2021</t>
        </is>
      </c>
      <c r="B3244" s="1" t="n">
        <v>44333</v>
      </c>
      <c r="C3244" s="1" t="n">
        <v>45211</v>
      </c>
      <c r="D3244" t="inlineStr">
        <is>
          <t>ÖSTERGÖTLANDS LÄN</t>
        </is>
      </c>
      <c r="E3244" t="inlineStr">
        <is>
          <t>NORRKÖPING</t>
        </is>
      </c>
      <c r="G3244" t="n">
        <v>3.5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s="2" t="inlineStr"/>
    </row>
    <row r="3245" ht="15" customHeight="1">
      <c r="A3245" t="inlineStr">
        <is>
          <t>A 23569-2021</t>
        </is>
      </c>
      <c r="B3245" s="1" t="n">
        <v>44333</v>
      </c>
      <c r="C3245" s="1" t="n">
        <v>45211</v>
      </c>
      <c r="D3245" t="inlineStr">
        <is>
          <t>ÖSTERGÖTLANDS LÄN</t>
        </is>
      </c>
      <c r="E3245" t="inlineStr">
        <is>
          <t>NORRKÖPING</t>
        </is>
      </c>
      <c r="G3245" t="n">
        <v>0.9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s="2" t="inlineStr"/>
    </row>
    <row r="3246" ht="15" customHeight="1">
      <c r="A3246" t="inlineStr">
        <is>
          <t>A 23199-2021</t>
        </is>
      </c>
      <c r="B3246" s="1" t="n">
        <v>44333</v>
      </c>
      <c r="C3246" s="1" t="n">
        <v>45211</v>
      </c>
      <c r="D3246" t="inlineStr">
        <is>
          <t>ÖSTERGÖTLANDS LÄN</t>
        </is>
      </c>
      <c r="E3246" t="inlineStr">
        <is>
          <t>ÅTVIDABERG</t>
        </is>
      </c>
      <c r="F3246" t="inlineStr">
        <is>
          <t>Övriga Aktiebolag</t>
        </is>
      </c>
      <c r="G3246" t="n">
        <v>7.2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s="2" t="inlineStr"/>
    </row>
    <row r="3247" ht="15" customHeight="1">
      <c r="A3247" t="inlineStr">
        <is>
          <t>A 23603-2021</t>
        </is>
      </c>
      <c r="B3247" s="1" t="n">
        <v>44334</v>
      </c>
      <c r="C3247" s="1" t="n">
        <v>45211</v>
      </c>
      <c r="D3247" t="inlineStr">
        <is>
          <t>ÖSTERGÖTLANDS LÄN</t>
        </is>
      </c>
      <c r="E3247" t="inlineStr">
        <is>
          <t>MOTALA</t>
        </is>
      </c>
      <c r="G3247" t="n">
        <v>2.3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s="2" t="inlineStr"/>
    </row>
    <row r="3248" ht="15" customHeight="1">
      <c r="A3248" t="inlineStr">
        <is>
          <t>A 23715-2021</t>
        </is>
      </c>
      <c r="B3248" s="1" t="n">
        <v>44334</v>
      </c>
      <c r="C3248" s="1" t="n">
        <v>45211</v>
      </c>
      <c r="D3248" t="inlineStr">
        <is>
          <t>ÖSTERGÖTLANDS LÄN</t>
        </is>
      </c>
      <c r="E3248" t="inlineStr">
        <is>
          <t>KINDA</t>
        </is>
      </c>
      <c r="G3248" t="n">
        <v>0.2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s="2" t="inlineStr"/>
    </row>
    <row r="3249" ht="15" customHeight="1">
      <c r="A3249" t="inlineStr">
        <is>
          <t>A 23886-2021</t>
        </is>
      </c>
      <c r="B3249" s="1" t="n">
        <v>44335</v>
      </c>
      <c r="C3249" s="1" t="n">
        <v>45211</v>
      </c>
      <c r="D3249" t="inlineStr">
        <is>
          <t>ÖSTERGÖTLANDS LÄN</t>
        </is>
      </c>
      <c r="E3249" t="inlineStr">
        <is>
          <t>NORRKÖPING</t>
        </is>
      </c>
      <c r="F3249" t="inlineStr">
        <is>
          <t>Holmen skog AB</t>
        </is>
      </c>
      <c r="G3249" t="n">
        <v>3.9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s="2" t="inlineStr"/>
    </row>
    <row r="3250" ht="15" customHeight="1">
      <c r="A3250" t="inlineStr">
        <is>
          <t>A 23990-2021</t>
        </is>
      </c>
      <c r="B3250" s="1" t="n">
        <v>44335</v>
      </c>
      <c r="C3250" s="1" t="n">
        <v>45211</v>
      </c>
      <c r="D3250" t="inlineStr">
        <is>
          <t>ÖSTERGÖTLANDS LÄN</t>
        </is>
      </c>
      <c r="E3250" t="inlineStr">
        <is>
          <t>KINDA</t>
        </is>
      </c>
      <c r="G3250" t="n">
        <v>1.5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s="2" t="inlineStr"/>
    </row>
    <row r="3251" ht="15" customHeight="1">
      <c r="A3251" t="inlineStr">
        <is>
          <t>A 24370-2021</t>
        </is>
      </c>
      <c r="B3251" s="1" t="n">
        <v>44337</v>
      </c>
      <c r="C3251" s="1" t="n">
        <v>45211</v>
      </c>
      <c r="D3251" t="inlineStr">
        <is>
          <t>ÖSTERGÖTLANDS LÄN</t>
        </is>
      </c>
      <c r="E3251" t="inlineStr">
        <is>
          <t>KINDA</t>
        </is>
      </c>
      <c r="G3251" t="n">
        <v>1.3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s="2" t="inlineStr"/>
    </row>
    <row r="3252" ht="15" customHeight="1">
      <c r="A3252" t="inlineStr">
        <is>
          <t>A 24362-2021</t>
        </is>
      </c>
      <c r="B3252" s="1" t="n">
        <v>44337</v>
      </c>
      <c r="C3252" s="1" t="n">
        <v>45211</v>
      </c>
      <c r="D3252" t="inlineStr">
        <is>
          <t>ÖSTERGÖTLANDS LÄN</t>
        </is>
      </c>
      <c r="E3252" t="inlineStr">
        <is>
          <t>KINDA</t>
        </is>
      </c>
      <c r="G3252" t="n">
        <v>4.1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s="2" t="inlineStr"/>
    </row>
    <row r="3253" ht="15" customHeight="1">
      <c r="A3253" t="inlineStr">
        <is>
          <t>A 24565-2021</t>
        </is>
      </c>
      <c r="B3253" s="1" t="n">
        <v>44339</v>
      </c>
      <c r="C3253" s="1" t="n">
        <v>45211</v>
      </c>
      <c r="D3253" t="inlineStr">
        <is>
          <t>ÖSTERGÖTLANDS LÄN</t>
        </is>
      </c>
      <c r="E3253" t="inlineStr">
        <is>
          <t>MOTALA</t>
        </is>
      </c>
      <c r="G3253" t="n">
        <v>3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s="2" t="inlineStr"/>
    </row>
    <row r="3254" ht="15" customHeight="1">
      <c r="A3254" t="inlineStr">
        <is>
          <t>A 24739-2021</t>
        </is>
      </c>
      <c r="B3254" s="1" t="n">
        <v>44340</v>
      </c>
      <c r="C3254" s="1" t="n">
        <v>45211</v>
      </c>
      <c r="D3254" t="inlineStr">
        <is>
          <t>ÖSTERGÖTLANDS LÄN</t>
        </is>
      </c>
      <c r="E3254" t="inlineStr">
        <is>
          <t>YDRE</t>
        </is>
      </c>
      <c r="F3254" t="inlineStr">
        <is>
          <t>Sveaskog</t>
        </is>
      </c>
      <c r="G3254" t="n">
        <v>0.7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s="2" t="inlineStr"/>
    </row>
    <row r="3255" ht="15" customHeight="1">
      <c r="A3255" t="inlineStr">
        <is>
          <t>A 24766-2021</t>
        </is>
      </c>
      <c r="B3255" s="1" t="n">
        <v>44340</v>
      </c>
      <c r="C3255" s="1" t="n">
        <v>45211</v>
      </c>
      <c r="D3255" t="inlineStr">
        <is>
          <t>ÖSTERGÖTLANDS LÄN</t>
        </is>
      </c>
      <c r="E3255" t="inlineStr">
        <is>
          <t>NORRKÖPING</t>
        </is>
      </c>
      <c r="G3255" t="n">
        <v>1.4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s="2" t="inlineStr"/>
    </row>
    <row r="3256" ht="15" customHeight="1">
      <c r="A3256" t="inlineStr">
        <is>
          <t>A 25273-2021</t>
        </is>
      </c>
      <c r="B3256" s="1" t="n">
        <v>44342</v>
      </c>
      <c r="C3256" s="1" t="n">
        <v>45211</v>
      </c>
      <c r="D3256" t="inlineStr">
        <is>
          <t>ÖSTERGÖTLANDS LÄN</t>
        </is>
      </c>
      <c r="E3256" t="inlineStr">
        <is>
          <t>SÖDERKÖPING</t>
        </is>
      </c>
      <c r="G3256" t="n">
        <v>0.9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s="2" t="inlineStr"/>
    </row>
    <row r="3257" ht="15" customHeight="1">
      <c r="A3257" t="inlineStr">
        <is>
          <t>A 25292-2021</t>
        </is>
      </c>
      <c r="B3257" s="1" t="n">
        <v>44342</v>
      </c>
      <c r="C3257" s="1" t="n">
        <v>45211</v>
      </c>
      <c r="D3257" t="inlineStr">
        <is>
          <t>ÖSTERGÖTLANDS LÄN</t>
        </is>
      </c>
      <c r="E3257" t="inlineStr">
        <is>
          <t>LINKÖPING</t>
        </is>
      </c>
      <c r="F3257" t="inlineStr">
        <is>
          <t>Övriga Aktiebolag</t>
        </is>
      </c>
      <c r="G3257" t="n">
        <v>12.8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s="2" t="inlineStr"/>
    </row>
    <row r="3258" ht="15" customHeight="1">
      <c r="A3258" t="inlineStr">
        <is>
          <t>A 25314-2021</t>
        </is>
      </c>
      <c r="B3258" s="1" t="n">
        <v>44342</v>
      </c>
      <c r="C3258" s="1" t="n">
        <v>45211</v>
      </c>
      <c r="D3258" t="inlineStr">
        <is>
          <t>ÖSTERGÖTLANDS LÄN</t>
        </is>
      </c>
      <c r="E3258" t="inlineStr">
        <is>
          <t>ÅTVIDABERG</t>
        </is>
      </c>
      <c r="F3258" t="inlineStr">
        <is>
          <t>Sveaskog</t>
        </is>
      </c>
      <c r="G3258" t="n">
        <v>1.2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s="2" t="inlineStr"/>
    </row>
    <row r="3259" ht="15" customHeight="1">
      <c r="A3259" t="inlineStr">
        <is>
          <t>A 25486-2021</t>
        </is>
      </c>
      <c r="B3259" s="1" t="n">
        <v>44342</v>
      </c>
      <c r="C3259" s="1" t="n">
        <v>45211</v>
      </c>
      <c r="D3259" t="inlineStr">
        <is>
          <t>ÖSTERGÖTLANDS LÄN</t>
        </is>
      </c>
      <c r="E3259" t="inlineStr">
        <is>
          <t>ÅTVIDABERG</t>
        </is>
      </c>
      <c r="G3259" t="n">
        <v>4.5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s="2" t="inlineStr"/>
    </row>
    <row r="3260" ht="15" customHeight="1">
      <c r="A3260" t="inlineStr">
        <is>
          <t>A 25305-2021</t>
        </is>
      </c>
      <c r="B3260" s="1" t="n">
        <v>44342</v>
      </c>
      <c r="C3260" s="1" t="n">
        <v>45211</v>
      </c>
      <c r="D3260" t="inlineStr">
        <is>
          <t>ÖSTERGÖTLANDS LÄN</t>
        </is>
      </c>
      <c r="E3260" t="inlineStr">
        <is>
          <t>LINKÖPING</t>
        </is>
      </c>
      <c r="F3260" t="inlineStr">
        <is>
          <t>Övriga Aktiebolag</t>
        </is>
      </c>
      <c r="G3260" t="n">
        <v>1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s="2" t="inlineStr"/>
    </row>
    <row r="3261" ht="15" customHeight="1">
      <c r="A3261" t="inlineStr">
        <is>
          <t>A 25776-2021</t>
        </is>
      </c>
      <c r="B3261" s="1" t="n">
        <v>44343</v>
      </c>
      <c r="C3261" s="1" t="n">
        <v>45211</v>
      </c>
      <c r="D3261" t="inlineStr">
        <is>
          <t>ÖSTERGÖTLANDS LÄN</t>
        </is>
      </c>
      <c r="E3261" t="inlineStr">
        <is>
          <t>LINKÖPING</t>
        </is>
      </c>
      <c r="G3261" t="n">
        <v>2.6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s="2" t="inlineStr"/>
    </row>
    <row r="3262" ht="15" customHeight="1">
      <c r="A3262" t="inlineStr">
        <is>
          <t>A 25627-2021</t>
        </is>
      </c>
      <c r="B3262" s="1" t="n">
        <v>44343</v>
      </c>
      <c r="C3262" s="1" t="n">
        <v>45211</v>
      </c>
      <c r="D3262" t="inlineStr">
        <is>
          <t>ÖSTERGÖTLANDS LÄN</t>
        </is>
      </c>
      <c r="E3262" t="inlineStr">
        <is>
          <t>YDRE</t>
        </is>
      </c>
      <c r="G3262" t="n">
        <v>4.3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s="2" t="inlineStr"/>
    </row>
    <row r="3263" ht="15" customHeight="1">
      <c r="A3263" t="inlineStr">
        <is>
          <t>A 25831-2021</t>
        </is>
      </c>
      <c r="B3263" s="1" t="n">
        <v>44344</v>
      </c>
      <c r="C3263" s="1" t="n">
        <v>45211</v>
      </c>
      <c r="D3263" t="inlineStr">
        <is>
          <t>ÖSTERGÖTLANDS LÄN</t>
        </is>
      </c>
      <c r="E3263" t="inlineStr">
        <is>
          <t>ÅTVIDABERG</t>
        </is>
      </c>
      <c r="G3263" t="n">
        <v>1.2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s="2" t="inlineStr"/>
    </row>
    <row r="3264" ht="15" customHeight="1">
      <c r="A3264" t="inlineStr">
        <is>
          <t>A 26046-2021</t>
        </is>
      </c>
      <c r="B3264" s="1" t="n">
        <v>44344</v>
      </c>
      <c r="C3264" s="1" t="n">
        <v>45211</v>
      </c>
      <c r="D3264" t="inlineStr">
        <is>
          <t>ÖSTERGÖTLANDS LÄN</t>
        </is>
      </c>
      <c r="E3264" t="inlineStr">
        <is>
          <t>YDRE</t>
        </is>
      </c>
      <c r="G3264" t="n">
        <v>2.6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s="2" t="inlineStr"/>
    </row>
    <row r="3265" ht="15" customHeight="1">
      <c r="A3265" t="inlineStr">
        <is>
          <t>A 26302-2021</t>
        </is>
      </c>
      <c r="B3265" s="1" t="n">
        <v>44347</v>
      </c>
      <c r="C3265" s="1" t="n">
        <v>45211</v>
      </c>
      <c r="D3265" t="inlineStr">
        <is>
          <t>ÖSTERGÖTLANDS LÄN</t>
        </is>
      </c>
      <c r="E3265" t="inlineStr">
        <is>
          <t>BOXHOLM</t>
        </is>
      </c>
      <c r="G3265" t="n">
        <v>2.7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s="2" t="inlineStr"/>
    </row>
    <row r="3266" ht="15" customHeight="1">
      <c r="A3266" t="inlineStr">
        <is>
          <t>A 26380-2021</t>
        </is>
      </c>
      <c r="B3266" s="1" t="n">
        <v>44347</v>
      </c>
      <c r="C3266" s="1" t="n">
        <v>45211</v>
      </c>
      <c r="D3266" t="inlineStr">
        <is>
          <t>ÖSTERGÖTLANDS LÄN</t>
        </is>
      </c>
      <c r="E3266" t="inlineStr">
        <is>
          <t>YDRE</t>
        </is>
      </c>
      <c r="G3266" t="n">
        <v>2.5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s="2" t="inlineStr"/>
    </row>
    <row r="3267" ht="15" customHeight="1">
      <c r="A3267" t="inlineStr">
        <is>
          <t>A 26370-2021</t>
        </is>
      </c>
      <c r="B3267" s="1" t="n">
        <v>44347</v>
      </c>
      <c r="C3267" s="1" t="n">
        <v>45211</v>
      </c>
      <c r="D3267" t="inlineStr">
        <is>
          <t>ÖSTERGÖTLANDS LÄN</t>
        </is>
      </c>
      <c r="E3267" t="inlineStr">
        <is>
          <t>YDRE</t>
        </is>
      </c>
      <c r="G3267" t="n">
        <v>1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s="2" t="inlineStr"/>
    </row>
    <row r="3268" ht="15" customHeight="1">
      <c r="A3268" t="inlineStr">
        <is>
          <t>A 26388-2021</t>
        </is>
      </c>
      <c r="B3268" s="1" t="n">
        <v>44347</v>
      </c>
      <c r="C3268" s="1" t="n">
        <v>45211</v>
      </c>
      <c r="D3268" t="inlineStr">
        <is>
          <t>ÖSTERGÖTLANDS LÄN</t>
        </is>
      </c>
      <c r="E3268" t="inlineStr">
        <is>
          <t>YDRE</t>
        </is>
      </c>
      <c r="G3268" t="n">
        <v>6.3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s="2" t="inlineStr"/>
    </row>
    <row r="3269" ht="15" customHeight="1">
      <c r="A3269" t="inlineStr">
        <is>
          <t>A 26363-2021</t>
        </is>
      </c>
      <c r="B3269" s="1" t="n">
        <v>44347</v>
      </c>
      <c r="C3269" s="1" t="n">
        <v>45211</v>
      </c>
      <c r="D3269" t="inlineStr">
        <is>
          <t>ÖSTERGÖTLANDS LÄN</t>
        </is>
      </c>
      <c r="E3269" t="inlineStr">
        <is>
          <t>YDRE</t>
        </is>
      </c>
      <c r="G3269" t="n">
        <v>1.5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s="2" t="inlineStr"/>
    </row>
    <row r="3270" ht="15" customHeight="1">
      <c r="A3270" t="inlineStr">
        <is>
          <t>A 26497-2021</t>
        </is>
      </c>
      <c r="B3270" s="1" t="n">
        <v>44348</v>
      </c>
      <c r="C3270" s="1" t="n">
        <v>45211</v>
      </c>
      <c r="D3270" t="inlineStr">
        <is>
          <t>ÖSTERGÖTLANDS LÄN</t>
        </is>
      </c>
      <c r="E3270" t="inlineStr">
        <is>
          <t>NORRKÖPING</t>
        </is>
      </c>
      <c r="G3270" t="n">
        <v>0.9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s="2" t="inlineStr"/>
    </row>
    <row r="3271" ht="15" customHeight="1">
      <c r="A3271" t="inlineStr">
        <is>
          <t>A 26546-2021</t>
        </is>
      </c>
      <c r="B3271" s="1" t="n">
        <v>44348</v>
      </c>
      <c r="C3271" s="1" t="n">
        <v>45211</v>
      </c>
      <c r="D3271" t="inlineStr">
        <is>
          <t>ÖSTERGÖTLANDS LÄN</t>
        </is>
      </c>
      <c r="E3271" t="inlineStr">
        <is>
          <t>MOTALA</t>
        </is>
      </c>
      <c r="G3271" t="n">
        <v>3.5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s="2" t="inlineStr"/>
    </row>
    <row r="3272" ht="15" customHeight="1">
      <c r="A3272" t="inlineStr">
        <is>
          <t>A 26695-2021</t>
        </is>
      </c>
      <c r="B3272" s="1" t="n">
        <v>44348</v>
      </c>
      <c r="C3272" s="1" t="n">
        <v>45211</v>
      </c>
      <c r="D3272" t="inlineStr">
        <is>
          <t>ÖSTERGÖTLANDS LÄN</t>
        </is>
      </c>
      <c r="E3272" t="inlineStr">
        <is>
          <t>MJÖLBY</t>
        </is>
      </c>
      <c r="G3272" t="n">
        <v>1.4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s="2" t="inlineStr"/>
    </row>
    <row r="3273" ht="15" customHeight="1">
      <c r="A3273" t="inlineStr">
        <is>
          <t>A 26581-2021</t>
        </is>
      </c>
      <c r="B3273" s="1" t="n">
        <v>44348</v>
      </c>
      <c r="C3273" s="1" t="n">
        <v>45211</v>
      </c>
      <c r="D3273" t="inlineStr">
        <is>
          <t>ÖSTERGÖTLANDS LÄN</t>
        </is>
      </c>
      <c r="E3273" t="inlineStr">
        <is>
          <t>MJÖLBY</t>
        </is>
      </c>
      <c r="G3273" t="n">
        <v>9.300000000000001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s="2" t="inlineStr"/>
    </row>
    <row r="3274" ht="15" customHeight="1">
      <c r="A3274" t="inlineStr">
        <is>
          <t>A 26464-2021</t>
        </is>
      </c>
      <c r="B3274" s="1" t="n">
        <v>44348</v>
      </c>
      <c r="C3274" s="1" t="n">
        <v>45211</v>
      </c>
      <c r="D3274" t="inlineStr">
        <is>
          <t>ÖSTERGÖTLANDS LÄN</t>
        </is>
      </c>
      <c r="E3274" t="inlineStr">
        <is>
          <t>NORRKÖPING</t>
        </is>
      </c>
      <c r="G3274" t="n">
        <v>1.9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s="2" t="inlineStr"/>
    </row>
    <row r="3275" ht="15" customHeight="1">
      <c r="A3275" t="inlineStr">
        <is>
          <t>A 26696-2021</t>
        </is>
      </c>
      <c r="B3275" s="1" t="n">
        <v>44348</v>
      </c>
      <c r="C3275" s="1" t="n">
        <v>45211</v>
      </c>
      <c r="D3275" t="inlineStr">
        <is>
          <t>ÖSTERGÖTLANDS LÄN</t>
        </is>
      </c>
      <c r="E3275" t="inlineStr">
        <is>
          <t>MJÖLBY</t>
        </is>
      </c>
      <c r="G3275" t="n">
        <v>15.5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s="2" t="inlineStr"/>
    </row>
    <row r="3276" ht="15" customHeight="1">
      <c r="A3276" t="inlineStr">
        <is>
          <t>A 27313-2021</t>
        </is>
      </c>
      <c r="B3276" s="1" t="n">
        <v>44350</v>
      </c>
      <c r="C3276" s="1" t="n">
        <v>45211</v>
      </c>
      <c r="D3276" t="inlineStr">
        <is>
          <t>ÖSTERGÖTLANDS LÄN</t>
        </is>
      </c>
      <c r="E3276" t="inlineStr">
        <is>
          <t>LINKÖPING</t>
        </is>
      </c>
      <c r="G3276" t="n">
        <v>1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s="2" t="inlineStr"/>
    </row>
    <row r="3277" ht="15" customHeight="1">
      <c r="A3277" t="inlineStr">
        <is>
          <t>A 27185-2021</t>
        </is>
      </c>
      <c r="B3277" s="1" t="n">
        <v>44350</v>
      </c>
      <c r="C3277" s="1" t="n">
        <v>45211</v>
      </c>
      <c r="D3277" t="inlineStr">
        <is>
          <t>ÖSTERGÖTLANDS LÄN</t>
        </is>
      </c>
      <c r="E3277" t="inlineStr">
        <is>
          <t>LINKÖPING</t>
        </is>
      </c>
      <c r="F3277" t="inlineStr">
        <is>
          <t>Allmännings- och besparingsskogar</t>
        </is>
      </c>
      <c r="G3277" t="n">
        <v>1.6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s="2" t="inlineStr"/>
    </row>
    <row r="3278" ht="15" customHeight="1">
      <c r="A3278" t="inlineStr">
        <is>
          <t>A 27694-2021</t>
        </is>
      </c>
      <c r="B3278" s="1" t="n">
        <v>44354</v>
      </c>
      <c r="C3278" s="1" t="n">
        <v>45211</v>
      </c>
      <c r="D3278" t="inlineStr">
        <is>
          <t>ÖSTERGÖTLANDS LÄN</t>
        </is>
      </c>
      <c r="E3278" t="inlineStr">
        <is>
          <t>NORRKÖPING</t>
        </is>
      </c>
      <c r="G3278" t="n">
        <v>3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s="2" t="inlineStr"/>
    </row>
    <row r="3279" ht="15" customHeight="1">
      <c r="A3279" t="inlineStr">
        <is>
          <t>A 27798-2021</t>
        </is>
      </c>
      <c r="B3279" s="1" t="n">
        <v>44354</v>
      </c>
      <c r="C3279" s="1" t="n">
        <v>45211</v>
      </c>
      <c r="D3279" t="inlineStr">
        <is>
          <t>ÖSTERGÖTLANDS LÄN</t>
        </is>
      </c>
      <c r="E3279" t="inlineStr">
        <is>
          <t>NORRKÖPING</t>
        </is>
      </c>
      <c r="G3279" t="n">
        <v>9.5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s="2" t="inlineStr"/>
    </row>
    <row r="3280" ht="15" customHeight="1">
      <c r="A3280" t="inlineStr">
        <is>
          <t>A 27811-2021</t>
        </is>
      </c>
      <c r="B3280" s="1" t="n">
        <v>44354</v>
      </c>
      <c r="C3280" s="1" t="n">
        <v>45211</v>
      </c>
      <c r="D3280" t="inlineStr">
        <is>
          <t>ÖSTERGÖTLANDS LÄN</t>
        </is>
      </c>
      <c r="E3280" t="inlineStr">
        <is>
          <t>KINDA</t>
        </is>
      </c>
      <c r="G3280" t="n">
        <v>0.4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s="2" t="inlineStr"/>
    </row>
    <row r="3281" ht="15" customHeight="1">
      <c r="A3281" t="inlineStr">
        <is>
          <t>A 27937-2021</t>
        </is>
      </c>
      <c r="B3281" s="1" t="n">
        <v>44354</v>
      </c>
      <c r="C3281" s="1" t="n">
        <v>45211</v>
      </c>
      <c r="D3281" t="inlineStr">
        <is>
          <t>ÖSTERGÖTLANDS LÄN</t>
        </is>
      </c>
      <c r="E3281" t="inlineStr">
        <is>
          <t>VALDEMARSVIK</t>
        </is>
      </c>
      <c r="G3281" t="n">
        <v>4.3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s="2" t="inlineStr"/>
    </row>
    <row r="3282" ht="15" customHeight="1">
      <c r="A3282" t="inlineStr">
        <is>
          <t>A 27785-2021</t>
        </is>
      </c>
      <c r="B3282" s="1" t="n">
        <v>44354</v>
      </c>
      <c r="C3282" s="1" t="n">
        <v>45211</v>
      </c>
      <c r="D3282" t="inlineStr">
        <is>
          <t>ÖSTERGÖTLANDS LÄN</t>
        </is>
      </c>
      <c r="E3282" t="inlineStr">
        <is>
          <t>NORRKÖPING</t>
        </is>
      </c>
      <c r="G3282" t="n">
        <v>1.2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s="2" t="inlineStr"/>
    </row>
    <row r="3283" ht="15" customHeight="1">
      <c r="A3283" t="inlineStr">
        <is>
          <t>A 28137-2021</t>
        </is>
      </c>
      <c r="B3283" s="1" t="n">
        <v>44355</v>
      </c>
      <c r="C3283" s="1" t="n">
        <v>45211</v>
      </c>
      <c r="D3283" t="inlineStr">
        <is>
          <t>ÖSTERGÖTLANDS LÄN</t>
        </is>
      </c>
      <c r="E3283" t="inlineStr">
        <is>
          <t>ÖDESHÖG</t>
        </is>
      </c>
      <c r="G3283" t="n">
        <v>9.5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s="2" t="inlineStr"/>
    </row>
    <row r="3284" ht="15" customHeight="1">
      <c r="A3284" t="inlineStr">
        <is>
          <t>A 28152-2021</t>
        </is>
      </c>
      <c r="B3284" s="1" t="n">
        <v>44355</v>
      </c>
      <c r="C3284" s="1" t="n">
        <v>45211</v>
      </c>
      <c r="D3284" t="inlineStr">
        <is>
          <t>ÖSTERGÖTLANDS LÄN</t>
        </is>
      </c>
      <c r="E3284" t="inlineStr">
        <is>
          <t>MOTALA</t>
        </is>
      </c>
      <c r="F3284" t="inlineStr">
        <is>
          <t>Sveaskog</t>
        </is>
      </c>
      <c r="G3284" t="n">
        <v>2.4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s="2" t="inlineStr"/>
    </row>
    <row r="3285" ht="15" customHeight="1">
      <c r="A3285" t="inlineStr">
        <is>
          <t>A 28018-2021</t>
        </is>
      </c>
      <c r="B3285" s="1" t="n">
        <v>44355</v>
      </c>
      <c r="C3285" s="1" t="n">
        <v>45211</v>
      </c>
      <c r="D3285" t="inlineStr">
        <is>
          <t>ÖSTERGÖTLANDS LÄN</t>
        </is>
      </c>
      <c r="E3285" t="inlineStr">
        <is>
          <t>BOXHOLM</t>
        </is>
      </c>
      <c r="F3285" t="inlineStr">
        <is>
          <t>Övriga Aktiebolag</t>
        </is>
      </c>
      <c r="G3285" t="n">
        <v>9.5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s="2" t="inlineStr"/>
    </row>
    <row r="3286" ht="15" customHeight="1">
      <c r="A3286" t="inlineStr">
        <is>
          <t>A 28059-2021</t>
        </is>
      </c>
      <c r="B3286" s="1" t="n">
        <v>44355</v>
      </c>
      <c r="C3286" s="1" t="n">
        <v>45211</v>
      </c>
      <c r="D3286" t="inlineStr">
        <is>
          <t>ÖSTERGÖTLANDS LÄN</t>
        </is>
      </c>
      <c r="E3286" t="inlineStr">
        <is>
          <t>VALDEMARSVIK</t>
        </is>
      </c>
      <c r="G3286" t="n">
        <v>2.8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s="2" t="inlineStr"/>
    </row>
    <row r="3287" ht="15" customHeight="1">
      <c r="A3287" t="inlineStr">
        <is>
          <t>A 28504-2021</t>
        </is>
      </c>
      <c r="B3287" s="1" t="n">
        <v>44356</v>
      </c>
      <c r="C3287" s="1" t="n">
        <v>45211</v>
      </c>
      <c r="D3287" t="inlineStr">
        <is>
          <t>ÖSTERGÖTLANDS LÄN</t>
        </is>
      </c>
      <c r="E3287" t="inlineStr">
        <is>
          <t>MOTALA</t>
        </is>
      </c>
      <c r="G3287" t="n">
        <v>1.2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s="2" t="inlineStr"/>
    </row>
    <row r="3288" ht="15" customHeight="1">
      <c r="A3288" t="inlineStr">
        <is>
          <t>A 28447-2021</t>
        </is>
      </c>
      <c r="B3288" s="1" t="n">
        <v>44356</v>
      </c>
      <c r="C3288" s="1" t="n">
        <v>45211</v>
      </c>
      <c r="D3288" t="inlineStr">
        <is>
          <t>ÖSTERGÖTLANDS LÄN</t>
        </is>
      </c>
      <c r="E3288" t="inlineStr">
        <is>
          <t>LINKÖPING</t>
        </is>
      </c>
      <c r="G3288" t="n">
        <v>2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s="2" t="inlineStr"/>
    </row>
    <row r="3289" ht="15" customHeight="1">
      <c r="A3289" t="inlineStr">
        <is>
          <t>A 28466-2021</t>
        </is>
      </c>
      <c r="B3289" s="1" t="n">
        <v>44356</v>
      </c>
      <c r="C3289" s="1" t="n">
        <v>45211</v>
      </c>
      <c r="D3289" t="inlineStr">
        <is>
          <t>ÖSTERGÖTLANDS LÄN</t>
        </is>
      </c>
      <c r="E3289" t="inlineStr">
        <is>
          <t>MOTALA</t>
        </is>
      </c>
      <c r="G3289" t="n">
        <v>1.1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s="2" t="inlineStr"/>
    </row>
    <row r="3290" ht="15" customHeight="1">
      <c r="A3290" t="inlineStr">
        <is>
          <t>A 28566-2021</t>
        </is>
      </c>
      <c r="B3290" s="1" t="n">
        <v>44356</v>
      </c>
      <c r="C3290" s="1" t="n">
        <v>45211</v>
      </c>
      <c r="D3290" t="inlineStr">
        <is>
          <t>ÖSTERGÖTLANDS LÄN</t>
        </is>
      </c>
      <c r="E3290" t="inlineStr">
        <is>
          <t>SÖDERKÖPING</t>
        </is>
      </c>
      <c r="G3290" t="n">
        <v>1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s="2" t="inlineStr"/>
    </row>
    <row r="3291" ht="15" customHeight="1">
      <c r="A3291" t="inlineStr">
        <is>
          <t>A 28791-2021</t>
        </is>
      </c>
      <c r="B3291" s="1" t="n">
        <v>44357</v>
      </c>
      <c r="C3291" s="1" t="n">
        <v>45211</v>
      </c>
      <c r="D3291" t="inlineStr">
        <is>
          <t>ÖSTERGÖTLANDS LÄN</t>
        </is>
      </c>
      <c r="E3291" t="inlineStr">
        <is>
          <t>FINSPÅNG</t>
        </is>
      </c>
      <c r="G3291" t="n">
        <v>0.7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s="2" t="inlineStr"/>
    </row>
    <row r="3292" ht="15" customHeight="1">
      <c r="A3292" t="inlineStr">
        <is>
          <t>A 28805-2021</t>
        </is>
      </c>
      <c r="B3292" s="1" t="n">
        <v>44357</v>
      </c>
      <c r="C3292" s="1" t="n">
        <v>45211</v>
      </c>
      <c r="D3292" t="inlineStr">
        <is>
          <t>ÖSTERGÖTLANDS LÄN</t>
        </is>
      </c>
      <c r="E3292" t="inlineStr">
        <is>
          <t>MOTALA</t>
        </is>
      </c>
      <c r="F3292" t="inlineStr">
        <is>
          <t>Sveaskog</t>
        </is>
      </c>
      <c r="G3292" t="n">
        <v>4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s="2" t="inlineStr"/>
    </row>
    <row r="3293" ht="15" customHeight="1">
      <c r="A3293" t="inlineStr">
        <is>
          <t>A 28769-2021</t>
        </is>
      </c>
      <c r="B3293" s="1" t="n">
        <v>44357</v>
      </c>
      <c r="C3293" s="1" t="n">
        <v>45211</v>
      </c>
      <c r="D3293" t="inlineStr">
        <is>
          <t>ÖSTERGÖTLANDS LÄN</t>
        </is>
      </c>
      <c r="E3293" t="inlineStr">
        <is>
          <t>VALDEMARSVIK</t>
        </is>
      </c>
      <c r="G3293" t="n">
        <v>1.1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s="2" t="inlineStr"/>
    </row>
    <row r="3294" ht="15" customHeight="1">
      <c r="A3294" t="inlineStr">
        <is>
          <t>A 28802-2021</t>
        </is>
      </c>
      <c r="B3294" s="1" t="n">
        <v>44357</v>
      </c>
      <c r="C3294" s="1" t="n">
        <v>45211</v>
      </c>
      <c r="D3294" t="inlineStr">
        <is>
          <t>ÖSTERGÖTLANDS LÄN</t>
        </is>
      </c>
      <c r="E3294" t="inlineStr">
        <is>
          <t>KINDA</t>
        </is>
      </c>
      <c r="G3294" t="n">
        <v>0.5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s="2" t="inlineStr"/>
    </row>
    <row r="3295" ht="15" customHeight="1">
      <c r="A3295" t="inlineStr">
        <is>
          <t>A 28797-2021</t>
        </is>
      </c>
      <c r="B3295" s="1" t="n">
        <v>44357</v>
      </c>
      <c r="C3295" s="1" t="n">
        <v>45211</v>
      </c>
      <c r="D3295" t="inlineStr">
        <is>
          <t>ÖSTERGÖTLANDS LÄN</t>
        </is>
      </c>
      <c r="E3295" t="inlineStr">
        <is>
          <t>KINDA</t>
        </is>
      </c>
      <c r="G3295" t="n">
        <v>0.8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s="2" t="inlineStr"/>
    </row>
    <row r="3296" ht="15" customHeight="1">
      <c r="A3296" t="inlineStr">
        <is>
          <t>A 28716-2021</t>
        </is>
      </c>
      <c r="B3296" s="1" t="n">
        <v>44357</v>
      </c>
      <c r="C3296" s="1" t="n">
        <v>45211</v>
      </c>
      <c r="D3296" t="inlineStr">
        <is>
          <t>ÖSTERGÖTLANDS LÄN</t>
        </is>
      </c>
      <c r="E3296" t="inlineStr">
        <is>
          <t>LINKÖPING</t>
        </is>
      </c>
      <c r="G3296" t="n">
        <v>1.2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s="2" t="inlineStr"/>
    </row>
    <row r="3297" ht="15" customHeight="1">
      <c r="A3297" t="inlineStr">
        <is>
          <t>A 28742-2021</t>
        </is>
      </c>
      <c r="B3297" s="1" t="n">
        <v>44357</v>
      </c>
      <c r="C3297" s="1" t="n">
        <v>45211</v>
      </c>
      <c r="D3297" t="inlineStr">
        <is>
          <t>ÖSTERGÖTLANDS LÄN</t>
        </is>
      </c>
      <c r="E3297" t="inlineStr">
        <is>
          <t>FINSPÅNG</t>
        </is>
      </c>
      <c r="G3297" t="n">
        <v>1.4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s="2" t="inlineStr"/>
    </row>
    <row r="3298" ht="15" customHeight="1">
      <c r="A3298" t="inlineStr">
        <is>
          <t>A 29043-2021</t>
        </is>
      </c>
      <c r="B3298" s="1" t="n">
        <v>44358</v>
      </c>
      <c r="C3298" s="1" t="n">
        <v>45211</v>
      </c>
      <c r="D3298" t="inlineStr">
        <is>
          <t>ÖSTERGÖTLANDS LÄN</t>
        </is>
      </c>
      <c r="E3298" t="inlineStr">
        <is>
          <t>MOTALA</t>
        </is>
      </c>
      <c r="F3298" t="inlineStr">
        <is>
          <t>Allmännings- och besparingsskogar</t>
        </is>
      </c>
      <c r="G3298" t="n">
        <v>3.8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s="2" t="inlineStr"/>
    </row>
    <row r="3299" ht="15" customHeight="1">
      <c r="A3299" t="inlineStr">
        <is>
          <t>A 29105-2021</t>
        </is>
      </c>
      <c r="B3299" s="1" t="n">
        <v>44358</v>
      </c>
      <c r="C3299" s="1" t="n">
        <v>45211</v>
      </c>
      <c r="D3299" t="inlineStr">
        <is>
          <t>ÖSTERGÖTLANDS LÄN</t>
        </is>
      </c>
      <c r="E3299" t="inlineStr">
        <is>
          <t>ÖDESHÖG</t>
        </is>
      </c>
      <c r="F3299" t="inlineStr">
        <is>
          <t>Allmännings- och besparingsskogar</t>
        </is>
      </c>
      <c r="G3299" t="n">
        <v>2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s="2" t="inlineStr"/>
    </row>
    <row r="3300" ht="15" customHeight="1">
      <c r="A3300" t="inlineStr">
        <is>
          <t>A 29189-2021</t>
        </is>
      </c>
      <c r="B3300" s="1" t="n">
        <v>44358</v>
      </c>
      <c r="C3300" s="1" t="n">
        <v>45211</v>
      </c>
      <c r="D3300" t="inlineStr">
        <is>
          <t>ÖSTERGÖTLANDS LÄN</t>
        </is>
      </c>
      <c r="E3300" t="inlineStr">
        <is>
          <t>MOTALA</t>
        </is>
      </c>
      <c r="G3300" t="n">
        <v>0.6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s="2" t="inlineStr"/>
    </row>
    <row r="3301" ht="15" customHeight="1">
      <c r="A3301" t="inlineStr">
        <is>
          <t>A 29065-2021</t>
        </is>
      </c>
      <c r="B3301" s="1" t="n">
        <v>44358</v>
      </c>
      <c r="C3301" s="1" t="n">
        <v>45211</v>
      </c>
      <c r="D3301" t="inlineStr">
        <is>
          <t>ÖSTERGÖTLANDS LÄN</t>
        </is>
      </c>
      <c r="E3301" t="inlineStr">
        <is>
          <t>MOTALA</t>
        </is>
      </c>
      <c r="F3301" t="inlineStr">
        <is>
          <t>Allmännings- och besparingsskogar</t>
        </is>
      </c>
      <c r="G3301" t="n">
        <v>4.1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s="2" t="inlineStr"/>
    </row>
    <row r="3302" ht="15" customHeight="1">
      <c r="A3302" t="inlineStr">
        <is>
          <t>A 29081-2021</t>
        </is>
      </c>
      <c r="B3302" s="1" t="n">
        <v>44358</v>
      </c>
      <c r="C3302" s="1" t="n">
        <v>45211</v>
      </c>
      <c r="D3302" t="inlineStr">
        <is>
          <t>ÖSTERGÖTLANDS LÄN</t>
        </is>
      </c>
      <c r="E3302" t="inlineStr">
        <is>
          <t>MOTALA</t>
        </is>
      </c>
      <c r="F3302" t="inlineStr">
        <is>
          <t>Allmännings- och besparingsskogar</t>
        </is>
      </c>
      <c r="G3302" t="n">
        <v>4.4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s="2" t="inlineStr"/>
    </row>
    <row r="3303" ht="15" customHeight="1">
      <c r="A3303" t="inlineStr">
        <is>
          <t>A 29128-2021</t>
        </is>
      </c>
      <c r="B3303" s="1" t="n">
        <v>44358</v>
      </c>
      <c r="C3303" s="1" t="n">
        <v>45211</v>
      </c>
      <c r="D3303" t="inlineStr">
        <is>
          <t>ÖSTERGÖTLANDS LÄN</t>
        </is>
      </c>
      <c r="E3303" t="inlineStr">
        <is>
          <t>NORRKÖPING</t>
        </is>
      </c>
      <c r="F3303" t="inlineStr">
        <is>
          <t>Holmen skog AB</t>
        </is>
      </c>
      <c r="G3303" t="n">
        <v>1.5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s="2" t="inlineStr"/>
    </row>
    <row r="3304" ht="15" customHeight="1">
      <c r="A3304" t="inlineStr">
        <is>
          <t>A 29079-2021</t>
        </is>
      </c>
      <c r="B3304" s="1" t="n">
        <v>44358</v>
      </c>
      <c r="C3304" s="1" t="n">
        <v>45211</v>
      </c>
      <c r="D3304" t="inlineStr">
        <is>
          <t>ÖSTERGÖTLANDS LÄN</t>
        </is>
      </c>
      <c r="E3304" t="inlineStr">
        <is>
          <t>NORRKÖPING</t>
        </is>
      </c>
      <c r="F3304" t="inlineStr">
        <is>
          <t>Holmen skog AB</t>
        </is>
      </c>
      <c r="G3304" t="n">
        <v>0.6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s="2" t="inlineStr"/>
    </row>
    <row r="3305" ht="15" customHeight="1">
      <c r="A3305" t="inlineStr">
        <is>
          <t>A 29126-2021</t>
        </is>
      </c>
      <c r="B3305" s="1" t="n">
        <v>44358</v>
      </c>
      <c r="C3305" s="1" t="n">
        <v>45211</v>
      </c>
      <c r="D3305" t="inlineStr">
        <is>
          <t>ÖSTERGÖTLANDS LÄN</t>
        </is>
      </c>
      <c r="E3305" t="inlineStr">
        <is>
          <t>ÖDESHÖG</t>
        </is>
      </c>
      <c r="F3305" t="inlineStr">
        <is>
          <t>Allmännings- och besparingsskogar</t>
        </is>
      </c>
      <c r="G3305" t="n">
        <v>4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s="2" t="inlineStr"/>
    </row>
    <row r="3306" ht="15" customHeight="1">
      <c r="A3306" t="inlineStr">
        <is>
          <t>A 29489-2021</t>
        </is>
      </c>
      <c r="B3306" s="1" t="n">
        <v>44361</v>
      </c>
      <c r="C3306" s="1" t="n">
        <v>45211</v>
      </c>
      <c r="D3306" t="inlineStr">
        <is>
          <t>ÖSTERGÖTLANDS LÄN</t>
        </is>
      </c>
      <c r="E3306" t="inlineStr">
        <is>
          <t>NORRKÖPING</t>
        </is>
      </c>
      <c r="G3306" t="n">
        <v>2.2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s="2" t="inlineStr"/>
    </row>
    <row r="3307" ht="15" customHeight="1">
      <c r="A3307" t="inlineStr">
        <is>
          <t>A 29485-2021</t>
        </is>
      </c>
      <c r="B3307" s="1" t="n">
        <v>44361</v>
      </c>
      <c r="C3307" s="1" t="n">
        <v>45211</v>
      </c>
      <c r="D3307" t="inlineStr">
        <is>
          <t>ÖSTERGÖTLANDS LÄN</t>
        </is>
      </c>
      <c r="E3307" t="inlineStr">
        <is>
          <t>NORRKÖPING</t>
        </is>
      </c>
      <c r="G3307" t="n">
        <v>1.8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s="2" t="inlineStr"/>
    </row>
    <row r="3308" ht="15" customHeight="1">
      <c r="A3308" t="inlineStr">
        <is>
          <t>A 29709-2021</t>
        </is>
      </c>
      <c r="B3308" s="1" t="n">
        <v>44362</v>
      </c>
      <c r="C3308" s="1" t="n">
        <v>45211</v>
      </c>
      <c r="D3308" t="inlineStr">
        <is>
          <t>ÖSTERGÖTLANDS LÄN</t>
        </is>
      </c>
      <c r="E3308" t="inlineStr">
        <is>
          <t>FINSPÅNG</t>
        </is>
      </c>
      <c r="F3308" t="inlineStr">
        <is>
          <t>Holmen skog AB</t>
        </is>
      </c>
      <c r="G3308" t="n">
        <v>9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s="2" t="inlineStr"/>
    </row>
    <row r="3309" ht="15" customHeight="1">
      <c r="A3309" t="inlineStr">
        <is>
          <t>A 29718-2021</t>
        </is>
      </c>
      <c r="B3309" s="1" t="n">
        <v>44362</v>
      </c>
      <c r="C3309" s="1" t="n">
        <v>45211</v>
      </c>
      <c r="D3309" t="inlineStr">
        <is>
          <t>ÖSTERGÖTLANDS LÄN</t>
        </is>
      </c>
      <c r="E3309" t="inlineStr">
        <is>
          <t>FINSPÅNG</t>
        </is>
      </c>
      <c r="F3309" t="inlineStr">
        <is>
          <t>Holmen skog AB</t>
        </is>
      </c>
      <c r="G3309" t="n">
        <v>0.8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s="2" t="inlineStr"/>
    </row>
    <row r="3310" ht="15" customHeight="1">
      <c r="A3310" t="inlineStr">
        <is>
          <t>A 29692-2021</t>
        </is>
      </c>
      <c r="B3310" s="1" t="n">
        <v>44362</v>
      </c>
      <c r="C3310" s="1" t="n">
        <v>45211</v>
      </c>
      <c r="D3310" t="inlineStr">
        <is>
          <t>ÖSTERGÖTLANDS LÄN</t>
        </is>
      </c>
      <c r="E3310" t="inlineStr">
        <is>
          <t>YDRE</t>
        </is>
      </c>
      <c r="F3310" t="inlineStr">
        <is>
          <t>Övriga Aktiebolag</t>
        </is>
      </c>
      <c r="G3310" t="n">
        <v>7.3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s="2" t="inlineStr"/>
    </row>
    <row r="3311" ht="15" customHeight="1">
      <c r="A3311" t="inlineStr">
        <is>
          <t>A 29723-2021</t>
        </is>
      </c>
      <c r="B3311" s="1" t="n">
        <v>44362</v>
      </c>
      <c r="C3311" s="1" t="n">
        <v>45211</v>
      </c>
      <c r="D3311" t="inlineStr">
        <is>
          <t>ÖSTERGÖTLANDS LÄN</t>
        </is>
      </c>
      <c r="E3311" t="inlineStr">
        <is>
          <t>KINDA</t>
        </is>
      </c>
      <c r="G3311" t="n">
        <v>1.8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s="2" t="inlineStr"/>
    </row>
    <row r="3312" ht="15" customHeight="1">
      <c r="A3312" t="inlineStr">
        <is>
          <t>A 29716-2021</t>
        </is>
      </c>
      <c r="B3312" s="1" t="n">
        <v>44362</v>
      </c>
      <c r="C3312" s="1" t="n">
        <v>45211</v>
      </c>
      <c r="D3312" t="inlineStr">
        <is>
          <t>ÖSTERGÖTLANDS LÄN</t>
        </is>
      </c>
      <c r="E3312" t="inlineStr">
        <is>
          <t>FINSPÅNG</t>
        </is>
      </c>
      <c r="F3312" t="inlineStr">
        <is>
          <t>Holmen skog AB</t>
        </is>
      </c>
      <c r="G3312" t="n">
        <v>1.2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s="2" t="inlineStr"/>
    </row>
    <row r="3313" ht="15" customHeight="1">
      <c r="A3313" t="inlineStr">
        <is>
          <t>A 29846-2021</t>
        </is>
      </c>
      <c r="B3313" s="1" t="n">
        <v>44362</v>
      </c>
      <c r="C3313" s="1" t="n">
        <v>45211</v>
      </c>
      <c r="D3313" t="inlineStr">
        <is>
          <t>ÖSTERGÖTLANDS LÄN</t>
        </is>
      </c>
      <c r="E3313" t="inlineStr">
        <is>
          <t>NORRKÖPING</t>
        </is>
      </c>
      <c r="G3313" t="n">
        <v>1.1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s="2" t="inlineStr"/>
    </row>
    <row r="3314" ht="15" customHeight="1">
      <c r="A3314" t="inlineStr">
        <is>
          <t>A 29946-2021</t>
        </is>
      </c>
      <c r="B3314" s="1" t="n">
        <v>44362</v>
      </c>
      <c r="C3314" s="1" t="n">
        <v>45211</v>
      </c>
      <c r="D3314" t="inlineStr">
        <is>
          <t>ÖSTERGÖTLANDS LÄN</t>
        </is>
      </c>
      <c r="E3314" t="inlineStr">
        <is>
          <t>VALDEMARSVIK</t>
        </is>
      </c>
      <c r="G3314" t="n">
        <v>1.8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s="2" t="inlineStr"/>
    </row>
    <row r="3315" ht="15" customHeight="1">
      <c r="A3315" t="inlineStr">
        <is>
          <t>A 29871-2021</t>
        </is>
      </c>
      <c r="B3315" s="1" t="n">
        <v>44362</v>
      </c>
      <c r="C3315" s="1" t="n">
        <v>45211</v>
      </c>
      <c r="D3315" t="inlineStr">
        <is>
          <t>ÖSTERGÖTLANDS LÄN</t>
        </is>
      </c>
      <c r="E3315" t="inlineStr">
        <is>
          <t>NORRKÖPING</t>
        </is>
      </c>
      <c r="F3315" t="inlineStr">
        <is>
          <t>Holmen skog AB</t>
        </is>
      </c>
      <c r="G3315" t="n">
        <v>0.9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s="2" t="inlineStr"/>
    </row>
    <row r="3316" ht="15" customHeight="1">
      <c r="A3316" t="inlineStr">
        <is>
          <t>A 30236-2021</t>
        </is>
      </c>
      <c r="B3316" s="1" t="n">
        <v>44363</v>
      </c>
      <c r="C3316" s="1" t="n">
        <v>45211</v>
      </c>
      <c r="D3316" t="inlineStr">
        <is>
          <t>ÖSTERGÖTLANDS LÄN</t>
        </is>
      </c>
      <c r="E3316" t="inlineStr">
        <is>
          <t>NORRKÖPING</t>
        </is>
      </c>
      <c r="F3316" t="inlineStr">
        <is>
          <t>Holmen skog AB</t>
        </is>
      </c>
      <c r="G3316" t="n">
        <v>0.6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s="2" t="inlineStr"/>
    </row>
    <row r="3317" ht="15" customHeight="1">
      <c r="A3317" t="inlineStr">
        <is>
          <t>A 30232-2021</t>
        </is>
      </c>
      <c r="B3317" s="1" t="n">
        <v>44363</v>
      </c>
      <c r="C3317" s="1" t="n">
        <v>45211</v>
      </c>
      <c r="D3317" t="inlineStr">
        <is>
          <t>ÖSTERGÖTLANDS LÄN</t>
        </is>
      </c>
      <c r="E3317" t="inlineStr">
        <is>
          <t>NORRKÖPING</t>
        </is>
      </c>
      <c r="F3317" t="inlineStr">
        <is>
          <t>Holmen skog AB</t>
        </is>
      </c>
      <c r="G3317" t="n">
        <v>0.5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s="2" t="inlineStr"/>
    </row>
    <row r="3318" ht="15" customHeight="1">
      <c r="A3318" t="inlineStr">
        <is>
          <t>A 30636-2021</t>
        </is>
      </c>
      <c r="B3318" s="1" t="n">
        <v>44365</v>
      </c>
      <c r="C3318" s="1" t="n">
        <v>45211</v>
      </c>
      <c r="D3318" t="inlineStr">
        <is>
          <t>ÖSTERGÖTLANDS LÄN</t>
        </is>
      </c>
      <c r="E3318" t="inlineStr">
        <is>
          <t>MJÖLBY</t>
        </is>
      </c>
      <c r="F3318" t="inlineStr">
        <is>
          <t>Sveaskog</t>
        </is>
      </c>
      <c r="G3318" t="n">
        <v>0.6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s="2" t="inlineStr"/>
    </row>
    <row r="3319" ht="15" customHeight="1">
      <c r="A3319" t="inlineStr">
        <is>
          <t>A 30639-2021</t>
        </is>
      </c>
      <c r="B3319" s="1" t="n">
        <v>44365</v>
      </c>
      <c r="C3319" s="1" t="n">
        <v>45211</v>
      </c>
      <c r="D3319" t="inlineStr">
        <is>
          <t>ÖSTERGÖTLANDS LÄN</t>
        </is>
      </c>
      <c r="E3319" t="inlineStr">
        <is>
          <t>MJÖLBY</t>
        </is>
      </c>
      <c r="F3319" t="inlineStr">
        <is>
          <t>Sveaskog</t>
        </is>
      </c>
      <c r="G3319" t="n">
        <v>2.7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s="2" t="inlineStr"/>
    </row>
    <row r="3320" ht="15" customHeight="1">
      <c r="A3320" t="inlineStr">
        <is>
          <t>A 31415-2021</t>
        </is>
      </c>
      <c r="B3320" s="1" t="n">
        <v>44368</v>
      </c>
      <c r="C3320" s="1" t="n">
        <v>45211</v>
      </c>
      <c r="D3320" t="inlineStr">
        <is>
          <t>ÖSTERGÖTLANDS LÄN</t>
        </is>
      </c>
      <c r="E3320" t="inlineStr">
        <is>
          <t>SÖDERKÖPING</t>
        </is>
      </c>
      <c r="G3320" t="n">
        <v>0.8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s="2" t="inlineStr"/>
    </row>
    <row r="3321" ht="15" customHeight="1">
      <c r="A3321" t="inlineStr">
        <is>
          <t>A 31253-2021</t>
        </is>
      </c>
      <c r="B3321" s="1" t="n">
        <v>44368</v>
      </c>
      <c r="C3321" s="1" t="n">
        <v>45211</v>
      </c>
      <c r="D3321" t="inlineStr">
        <is>
          <t>ÖSTERGÖTLANDS LÄN</t>
        </is>
      </c>
      <c r="E3321" t="inlineStr">
        <is>
          <t>NORRKÖPING</t>
        </is>
      </c>
      <c r="F3321" t="inlineStr">
        <is>
          <t>Holmen skog AB</t>
        </is>
      </c>
      <c r="G3321" t="n">
        <v>0.5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s="2" t="inlineStr"/>
    </row>
    <row r="3322" ht="15" customHeight="1">
      <c r="A3322" t="inlineStr">
        <is>
          <t>A 31334-2021</t>
        </is>
      </c>
      <c r="B3322" s="1" t="n">
        <v>44368</v>
      </c>
      <c r="C3322" s="1" t="n">
        <v>45211</v>
      </c>
      <c r="D3322" t="inlineStr">
        <is>
          <t>ÖSTERGÖTLANDS LÄN</t>
        </is>
      </c>
      <c r="E3322" t="inlineStr">
        <is>
          <t>FINSPÅNG</t>
        </is>
      </c>
      <c r="G3322" t="n">
        <v>3.4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s="2" t="inlineStr"/>
    </row>
    <row r="3323" ht="15" customHeight="1">
      <c r="A3323" t="inlineStr">
        <is>
          <t>A 31375-2021</t>
        </is>
      </c>
      <c r="B3323" s="1" t="n">
        <v>44368</v>
      </c>
      <c r="C3323" s="1" t="n">
        <v>45211</v>
      </c>
      <c r="D3323" t="inlineStr">
        <is>
          <t>ÖSTERGÖTLANDS LÄN</t>
        </is>
      </c>
      <c r="E3323" t="inlineStr">
        <is>
          <t>FINSPÅNG</t>
        </is>
      </c>
      <c r="G3323" t="n">
        <v>1.4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s="2" t="inlineStr"/>
    </row>
    <row r="3324" ht="15" customHeight="1">
      <c r="A3324" t="inlineStr">
        <is>
          <t>A 31369-2021</t>
        </is>
      </c>
      <c r="B3324" s="1" t="n">
        <v>44368</v>
      </c>
      <c r="C3324" s="1" t="n">
        <v>45211</v>
      </c>
      <c r="D3324" t="inlineStr">
        <is>
          <t>ÖSTERGÖTLANDS LÄN</t>
        </is>
      </c>
      <c r="E3324" t="inlineStr">
        <is>
          <t>FINSPÅNG</t>
        </is>
      </c>
      <c r="G3324" t="n">
        <v>0.8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s="2" t="inlineStr"/>
    </row>
    <row r="3325" ht="15" customHeight="1">
      <c r="A3325" t="inlineStr">
        <is>
          <t>A 31309-2021</t>
        </is>
      </c>
      <c r="B3325" s="1" t="n">
        <v>44368</v>
      </c>
      <c r="C3325" s="1" t="n">
        <v>45211</v>
      </c>
      <c r="D3325" t="inlineStr">
        <is>
          <t>ÖSTERGÖTLANDS LÄN</t>
        </is>
      </c>
      <c r="E3325" t="inlineStr">
        <is>
          <t>FINSPÅNG</t>
        </is>
      </c>
      <c r="G3325" t="n">
        <v>3.5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s="2" t="inlineStr"/>
    </row>
    <row r="3326" ht="15" customHeight="1">
      <c r="A3326" t="inlineStr">
        <is>
          <t>A 31373-2021</t>
        </is>
      </c>
      <c r="B3326" s="1" t="n">
        <v>44368</v>
      </c>
      <c r="C3326" s="1" t="n">
        <v>45211</v>
      </c>
      <c r="D3326" t="inlineStr">
        <is>
          <t>ÖSTERGÖTLANDS LÄN</t>
        </is>
      </c>
      <c r="E3326" t="inlineStr">
        <is>
          <t>FINSPÅNG</t>
        </is>
      </c>
      <c r="G3326" t="n">
        <v>13.8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s="2" t="inlineStr"/>
    </row>
    <row r="3327" ht="15" customHeight="1">
      <c r="A3327" t="inlineStr">
        <is>
          <t>A 31269-2021</t>
        </is>
      </c>
      <c r="B3327" s="1" t="n">
        <v>44368</v>
      </c>
      <c r="C3327" s="1" t="n">
        <v>45211</v>
      </c>
      <c r="D3327" t="inlineStr">
        <is>
          <t>ÖSTERGÖTLANDS LÄN</t>
        </is>
      </c>
      <c r="E3327" t="inlineStr">
        <is>
          <t>NORRKÖPING</t>
        </is>
      </c>
      <c r="F3327" t="inlineStr">
        <is>
          <t>Allmännings- och besparingsskogar</t>
        </is>
      </c>
      <c r="G3327" t="n">
        <v>4.2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s="2" t="inlineStr"/>
    </row>
    <row r="3328" ht="15" customHeight="1">
      <c r="A3328" t="inlineStr">
        <is>
          <t>A 31792-2021</t>
        </is>
      </c>
      <c r="B3328" s="1" t="n">
        <v>44369</v>
      </c>
      <c r="C3328" s="1" t="n">
        <v>45211</v>
      </c>
      <c r="D3328" t="inlineStr">
        <is>
          <t>ÖSTERGÖTLANDS LÄN</t>
        </is>
      </c>
      <c r="E3328" t="inlineStr">
        <is>
          <t>LINKÖPING</t>
        </is>
      </c>
      <c r="G3328" t="n">
        <v>1.9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s="2" t="inlineStr"/>
    </row>
    <row r="3329" ht="15" customHeight="1">
      <c r="A3329" t="inlineStr">
        <is>
          <t>A 31571-2021</t>
        </is>
      </c>
      <c r="B3329" s="1" t="n">
        <v>44369</v>
      </c>
      <c r="C3329" s="1" t="n">
        <v>45211</v>
      </c>
      <c r="D3329" t="inlineStr">
        <is>
          <t>ÖSTERGÖTLANDS LÄN</t>
        </is>
      </c>
      <c r="E3329" t="inlineStr">
        <is>
          <t>FINSPÅNG</t>
        </is>
      </c>
      <c r="G3329" t="n">
        <v>1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s="2" t="inlineStr"/>
    </row>
    <row r="3330" ht="15" customHeight="1">
      <c r="A3330" t="inlineStr">
        <is>
          <t>A 31821-2021</t>
        </is>
      </c>
      <c r="B3330" s="1" t="n">
        <v>44369</v>
      </c>
      <c r="C3330" s="1" t="n">
        <v>45211</v>
      </c>
      <c r="D3330" t="inlineStr">
        <is>
          <t>ÖSTERGÖTLANDS LÄN</t>
        </is>
      </c>
      <c r="E3330" t="inlineStr">
        <is>
          <t>FINSPÅNG</t>
        </is>
      </c>
      <c r="G3330" t="n">
        <v>2.4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s="2" t="inlineStr"/>
    </row>
    <row r="3331" ht="15" customHeight="1">
      <c r="A3331" t="inlineStr">
        <is>
          <t>A 31850-2021</t>
        </is>
      </c>
      <c r="B3331" s="1" t="n">
        <v>44369</v>
      </c>
      <c r="C3331" s="1" t="n">
        <v>45211</v>
      </c>
      <c r="D3331" t="inlineStr">
        <is>
          <t>ÖSTERGÖTLANDS LÄN</t>
        </is>
      </c>
      <c r="E3331" t="inlineStr">
        <is>
          <t>FINSPÅNG</t>
        </is>
      </c>
      <c r="G3331" t="n">
        <v>3.2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s="2" t="inlineStr"/>
    </row>
    <row r="3332" ht="15" customHeight="1">
      <c r="A3332" t="inlineStr">
        <is>
          <t>A 31376-2021</t>
        </is>
      </c>
      <c r="B3332" s="1" t="n">
        <v>44369</v>
      </c>
      <c r="C3332" s="1" t="n">
        <v>45211</v>
      </c>
      <c r="D3332" t="inlineStr">
        <is>
          <t>ÖSTERGÖTLANDS LÄN</t>
        </is>
      </c>
      <c r="E3332" t="inlineStr">
        <is>
          <t>FINSPÅNG</t>
        </is>
      </c>
      <c r="G3332" t="n">
        <v>0.5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s="2" t="inlineStr"/>
    </row>
    <row r="3333" ht="15" customHeight="1">
      <c r="A3333" t="inlineStr">
        <is>
          <t>A 31770-2021</t>
        </is>
      </c>
      <c r="B3333" s="1" t="n">
        <v>44370</v>
      </c>
      <c r="C3333" s="1" t="n">
        <v>45211</v>
      </c>
      <c r="D3333" t="inlineStr">
        <is>
          <t>ÖSTERGÖTLANDS LÄN</t>
        </is>
      </c>
      <c r="E3333" t="inlineStr">
        <is>
          <t>LINKÖPING</t>
        </is>
      </c>
      <c r="G3333" t="n">
        <v>5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s="2" t="inlineStr"/>
    </row>
    <row r="3334" ht="15" customHeight="1">
      <c r="A3334" t="inlineStr">
        <is>
          <t>A 31941-2021</t>
        </is>
      </c>
      <c r="B3334" s="1" t="n">
        <v>44370</v>
      </c>
      <c r="C3334" s="1" t="n">
        <v>45211</v>
      </c>
      <c r="D3334" t="inlineStr">
        <is>
          <t>ÖSTERGÖTLANDS LÄN</t>
        </is>
      </c>
      <c r="E3334" t="inlineStr">
        <is>
          <t>BOXHOLM</t>
        </is>
      </c>
      <c r="G3334" t="n">
        <v>2.4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s="2" t="inlineStr"/>
    </row>
    <row r="3335" ht="15" customHeight="1">
      <c r="A3335" t="inlineStr">
        <is>
          <t>A 32370-2021</t>
        </is>
      </c>
      <c r="B3335" s="1" t="n">
        <v>44371</v>
      </c>
      <c r="C3335" s="1" t="n">
        <v>45211</v>
      </c>
      <c r="D3335" t="inlineStr">
        <is>
          <t>ÖSTERGÖTLANDS LÄN</t>
        </is>
      </c>
      <c r="E3335" t="inlineStr">
        <is>
          <t>BOXHOLM</t>
        </is>
      </c>
      <c r="G3335" t="n">
        <v>1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s="2" t="inlineStr"/>
    </row>
    <row r="3336" ht="15" customHeight="1">
      <c r="A3336" t="inlineStr">
        <is>
          <t>A 32190-2021</t>
        </is>
      </c>
      <c r="B3336" s="1" t="n">
        <v>44371</v>
      </c>
      <c r="C3336" s="1" t="n">
        <v>45211</v>
      </c>
      <c r="D3336" t="inlineStr">
        <is>
          <t>ÖSTERGÖTLANDS LÄN</t>
        </is>
      </c>
      <c r="E3336" t="inlineStr">
        <is>
          <t>NORRKÖPING</t>
        </is>
      </c>
      <c r="F3336" t="inlineStr">
        <is>
          <t>Holmen skog AB</t>
        </is>
      </c>
      <c r="G3336" t="n">
        <v>0.7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s="2" t="inlineStr"/>
    </row>
    <row r="3337" ht="15" customHeight="1">
      <c r="A3337" t="inlineStr">
        <is>
          <t>A 32302-2021</t>
        </is>
      </c>
      <c r="B3337" s="1" t="n">
        <v>44371</v>
      </c>
      <c r="C3337" s="1" t="n">
        <v>45211</v>
      </c>
      <c r="D3337" t="inlineStr">
        <is>
          <t>ÖSTERGÖTLANDS LÄN</t>
        </is>
      </c>
      <c r="E3337" t="inlineStr">
        <is>
          <t>ÅTVIDABERG</t>
        </is>
      </c>
      <c r="G3337" t="n">
        <v>1.4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s="2" t="inlineStr"/>
    </row>
    <row r="3338" ht="15" customHeight="1">
      <c r="A3338" t="inlineStr">
        <is>
          <t>A 32341-2021</t>
        </is>
      </c>
      <c r="B3338" s="1" t="n">
        <v>44371</v>
      </c>
      <c r="C3338" s="1" t="n">
        <v>45211</v>
      </c>
      <c r="D3338" t="inlineStr">
        <is>
          <t>ÖSTERGÖTLANDS LÄN</t>
        </is>
      </c>
      <c r="E3338" t="inlineStr">
        <is>
          <t>MOTALA</t>
        </is>
      </c>
      <c r="F3338" t="inlineStr">
        <is>
          <t>Kommuner</t>
        </is>
      </c>
      <c r="G3338" t="n">
        <v>2.8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s="2" t="inlineStr"/>
      <c r="U3338">
        <f>HYPERLINK("https://klasma.github.io/Logging_0583/knärot/A 32341-2021.png", "A 32341-2021")</f>
        <v/>
      </c>
      <c r="V3338">
        <f>HYPERLINK("https://klasma.github.io/Logging_0583/klagomål/A 32341-2021.docx", "A 32341-2021")</f>
        <v/>
      </c>
      <c r="W3338">
        <f>HYPERLINK("https://klasma.github.io/Logging_0583/klagomålsmail/A 32341-2021.docx", "A 32341-2021")</f>
        <v/>
      </c>
      <c r="X3338">
        <f>HYPERLINK("https://klasma.github.io/Logging_0583/tillsyn/A 32341-2021.docx", "A 32341-2021")</f>
        <v/>
      </c>
      <c r="Y3338">
        <f>HYPERLINK("https://klasma.github.io/Logging_0583/tillsynsmail/A 32341-2021.docx", "A 32341-2021")</f>
        <v/>
      </c>
    </row>
    <row r="3339" ht="15" customHeight="1">
      <c r="A3339" t="inlineStr">
        <is>
          <t>A 32243-2021</t>
        </is>
      </c>
      <c r="B3339" s="1" t="n">
        <v>44371</v>
      </c>
      <c r="C3339" s="1" t="n">
        <v>45211</v>
      </c>
      <c r="D3339" t="inlineStr">
        <is>
          <t>ÖSTERGÖTLANDS LÄN</t>
        </is>
      </c>
      <c r="E3339" t="inlineStr">
        <is>
          <t>YDRE</t>
        </is>
      </c>
      <c r="G3339" t="n">
        <v>2.4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s="2" t="inlineStr"/>
    </row>
    <row r="3340" ht="15" customHeight="1">
      <c r="A3340" t="inlineStr">
        <is>
          <t>A 32571-2021</t>
        </is>
      </c>
      <c r="B3340" s="1" t="n">
        <v>44371</v>
      </c>
      <c r="C3340" s="1" t="n">
        <v>45211</v>
      </c>
      <c r="D3340" t="inlineStr">
        <is>
          <t>ÖSTERGÖTLANDS LÄN</t>
        </is>
      </c>
      <c r="E3340" t="inlineStr">
        <is>
          <t>VALDEMARSVIK</t>
        </is>
      </c>
      <c r="F3340" t="inlineStr">
        <is>
          <t>Övriga Aktiebolag</t>
        </is>
      </c>
      <c r="G3340" t="n">
        <v>2.6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s="2" t="inlineStr"/>
    </row>
    <row r="3341" ht="15" customHeight="1">
      <c r="A3341" t="inlineStr">
        <is>
          <t>A 32177-2021</t>
        </is>
      </c>
      <c r="B3341" s="1" t="n">
        <v>44371</v>
      </c>
      <c r="C3341" s="1" t="n">
        <v>45211</v>
      </c>
      <c r="D3341" t="inlineStr">
        <is>
          <t>ÖSTERGÖTLANDS LÄN</t>
        </is>
      </c>
      <c r="E3341" t="inlineStr">
        <is>
          <t>NORRKÖPING</t>
        </is>
      </c>
      <c r="F3341" t="inlineStr">
        <is>
          <t>Holmen skog AB</t>
        </is>
      </c>
      <c r="G3341" t="n">
        <v>2.4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s="2" t="inlineStr"/>
    </row>
    <row r="3342" ht="15" customHeight="1">
      <c r="A3342" t="inlineStr">
        <is>
          <t>A 32192-2021</t>
        </is>
      </c>
      <c r="B3342" s="1" t="n">
        <v>44371</v>
      </c>
      <c r="C3342" s="1" t="n">
        <v>45211</v>
      </c>
      <c r="D3342" t="inlineStr">
        <is>
          <t>ÖSTERGÖTLANDS LÄN</t>
        </is>
      </c>
      <c r="E3342" t="inlineStr">
        <is>
          <t>NORRKÖPING</t>
        </is>
      </c>
      <c r="F3342" t="inlineStr">
        <is>
          <t>Holmen skog AB</t>
        </is>
      </c>
      <c r="G3342" t="n">
        <v>0.9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s="2" t="inlineStr"/>
    </row>
    <row r="3343" ht="15" customHeight="1">
      <c r="A3343" t="inlineStr">
        <is>
          <t>A 32232-2021</t>
        </is>
      </c>
      <c r="B3343" s="1" t="n">
        <v>44371</v>
      </c>
      <c r="C3343" s="1" t="n">
        <v>45211</v>
      </c>
      <c r="D3343" t="inlineStr">
        <is>
          <t>ÖSTERGÖTLANDS LÄN</t>
        </is>
      </c>
      <c r="E3343" t="inlineStr">
        <is>
          <t>LINKÖPING</t>
        </is>
      </c>
      <c r="F3343" t="inlineStr">
        <is>
          <t>Övriga Aktiebolag</t>
        </is>
      </c>
      <c r="G3343" t="n">
        <v>1.9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s="2" t="inlineStr"/>
    </row>
    <row r="3344" ht="15" customHeight="1">
      <c r="A3344" t="inlineStr">
        <is>
          <t>A 32296-2021</t>
        </is>
      </c>
      <c r="B3344" s="1" t="n">
        <v>44371</v>
      </c>
      <c r="C3344" s="1" t="n">
        <v>45211</v>
      </c>
      <c r="D3344" t="inlineStr">
        <is>
          <t>ÖSTERGÖTLANDS LÄN</t>
        </is>
      </c>
      <c r="E3344" t="inlineStr">
        <is>
          <t>ÅTVIDABERG</t>
        </is>
      </c>
      <c r="G3344" t="n">
        <v>3.5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s="2" t="inlineStr"/>
    </row>
    <row r="3345" ht="15" customHeight="1">
      <c r="A3345" t="inlineStr">
        <is>
          <t>A 32781-2021</t>
        </is>
      </c>
      <c r="B3345" s="1" t="n">
        <v>44375</v>
      </c>
      <c r="C3345" s="1" t="n">
        <v>45211</v>
      </c>
      <c r="D3345" t="inlineStr">
        <is>
          <t>ÖSTERGÖTLANDS LÄN</t>
        </is>
      </c>
      <c r="E3345" t="inlineStr">
        <is>
          <t>KINDA</t>
        </is>
      </c>
      <c r="G3345" t="n">
        <v>2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s="2" t="inlineStr"/>
      <c r="U3345">
        <f>HYPERLINK("https://klasma.github.io/Logging_0513/knärot/A 32781-2021.png", "A 32781-2021")</f>
        <v/>
      </c>
      <c r="V3345">
        <f>HYPERLINK("https://klasma.github.io/Logging_0513/klagomål/A 32781-2021.docx", "A 32781-2021")</f>
        <v/>
      </c>
      <c r="W3345">
        <f>HYPERLINK("https://klasma.github.io/Logging_0513/klagomålsmail/A 32781-2021.docx", "A 32781-2021")</f>
        <v/>
      </c>
      <c r="X3345">
        <f>HYPERLINK("https://klasma.github.io/Logging_0513/tillsyn/A 32781-2021.docx", "A 32781-2021")</f>
        <v/>
      </c>
      <c r="Y3345">
        <f>HYPERLINK("https://klasma.github.io/Logging_0513/tillsynsmail/A 32781-2021.docx", "A 32781-2021")</f>
        <v/>
      </c>
    </row>
    <row r="3346" ht="15" customHeight="1">
      <c r="A3346" t="inlineStr">
        <is>
          <t>A 32773-2021</t>
        </is>
      </c>
      <c r="B3346" s="1" t="n">
        <v>44375</v>
      </c>
      <c r="C3346" s="1" t="n">
        <v>45211</v>
      </c>
      <c r="D3346" t="inlineStr">
        <is>
          <t>ÖSTERGÖTLANDS LÄN</t>
        </is>
      </c>
      <c r="E3346" t="inlineStr">
        <is>
          <t>MJÖLBY</t>
        </is>
      </c>
      <c r="G3346" t="n">
        <v>10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s="2" t="inlineStr"/>
    </row>
    <row r="3347" ht="15" customHeight="1">
      <c r="A3347" t="inlineStr">
        <is>
          <t>A 32596-2021</t>
        </is>
      </c>
      <c r="B3347" s="1" t="n">
        <v>44375</v>
      </c>
      <c r="C3347" s="1" t="n">
        <v>45211</v>
      </c>
      <c r="D3347" t="inlineStr">
        <is>
          <t>ÖSTERGÖTLANDS LÄN</t>
        </is>
      </c>
      <c r="E3347" t="inlineStr">
        <is>
          <t>FINSPÅNG</t>
        </is>
      </c>
      <c r="F3347" t="inlineStr">
        <is>
          <t>Holmen skog AB</t>
        </is>
      </c>
      <c r="G3347" t="n">
        <v>0.5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s="2" t="inlineStr"/>
    </row>
    <row r="3348" ht="15" customHeight="1">
      <c r="A3348" t="inlineStr">
        <is>
          <t>A 33173-2021</t>
        </is>
      </c>
      <c r="B3348" s="1" t="n">
        <v>44376</v>
      </c>
      <c r="C3348" s="1" t="n">
        <v>45211</v>
      </c>
      <c r="D3348" t="inlineStr">
        <is>
          <t>ÖSTERGÖTLANDS LÄN</t>
        </is>
      </c>
      <c r="E3348" t="inlineStr">
        <is>
          <t>FINSPÅNG</t>
        </is>
      </c>
      <c r="G3348" t="n">
        <v>0.6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s="2" t="inlineStr"/>
    </row>
    <row r="3349" ht="15" customHeight="1">
      <c r="A3349" t="inlineStr">
        <is>
          <t>A 33584-2021</t>
        </is>
      </c>
      <c r="B3349" s="1" t="n">
        <v>44377</v>
      </c>
      <c r="C3349" s="1" t="n">
        <v>45211</v>
      </c>
      <c r="D3349" t="inlineStr">
        <is>
          <t>ÖSTERGÖTLANDS LÄN</t>
        </is>
      </c>
      <c r="E3349" t="inlineStr">
        <is>
          <t>FINSPÅNG</t>
        </is>
      </c>
      <c r="G3349" t="n">
        <v>0.4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s="2" t="inlineStr"/>
    </row>
    <row r="3350" ht="15" customHeight="1">
      <c r="A3350" t="inlineStr">
        <is>
          <t>A 33876-2021</t>
        </is>
      </c>
      <c r="B3350" s="1" t="n">
        <v>44378</v>
      </c>
      <c r="C3350" s="1" t="n">
        <v>45211</v>
      </c>
      <c r="D3350" t="inlineStr">
        <is>
          <t>ÖSTERGÖTLANDS LÄN</t>
        </is>
      </c>
      <c r="E3350" t="inlineStr">
        <is>
          <t>LINKÖPING</t>
        </is>
      </c>
      <c r="G3350" t="n">
        <v>6.3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s="2" t="inlineStr"/>
    </row>
    <row r="3351" ht="15" customHeight="1">
      <c r="A3351" t="inlineStr">
        <is>
          <t>A 33746-2021</t>
        </is>
      </c>
      <c r="B3351" s="1" t="n">
        <v>44378</v>
      </c>
      <c r="C3351" s="1" t="n">
        <v>45211</v>
      </c>
      <c r="D3351" t="inlineStr">
        <is>
          <t>ÖSTERGÖTLANDS LÄN</t>
        </is>
      </c>
      <c r="E3351" t="inlineStr">
        <is>
          <t>FINSPÅNG</t>
        </is>
      </c>
      <c r="F3351" t="inlineStr">
        <is>
          <t>Holmen skog AB</t>
        </is>
      </c>
      <c r="G3351" t="n">
        <v>0.6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s="2" t="inlineStr"/>
    </row>
    <row r="3352" ht="15" customHeight="1">
      <c r="A3352" t="inlineStr">
        <is>
          <t>A 33868-2021</t>
        </is>
      </c>
      <c r="B3352" s="1" t="n">
        <v>44378</v>
      </c>
      <c r="C3352" s="1" t="n">
        <v>45211</v>
      </c>
      <c r="D3352" t="inlineStr">
        <is>
          <t>ÖSTERGÖTLANDS LÄN</t>
        </is>
      </c>
      <c r="E3352" t="inlineStr">
        <is>
          <t>VALDEMARSVIK</t>
        </is>
      </c>
      <c r="G3352" t="n">
        <v>1.2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s="2" t="inlineStr"/>
    </row>
    <row r="3353" ht="15" customHeight="1">
      <c r="A3353" t="inlineStr">
        <is>
          <t>A 33891-2021</t>
        </is>
      </c>
      <c r="B3353" s="1" t="n">
        <v>44378</v>
      </c>
      <c r="C3353" s="1" t="n">
        <v>45211</v>
      </c>
      <c r="D3353" t="inlineStr">
        <is>
          <t>ÖSTERGÖTLANDS LÄN</t>
        </is>
      </c>
      <c r="E3353" t="inlineStr">
        <is>
          <t>LINKÖPING</t>
        </is>
      </c>
      <c r="G3353" t="n">
        <v>5.1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s="2" t="inlineStr"/>
    </row>
    <row r="3354" ht="15" customHeight="1">
      <c r="A3354" t="inlineStr">
        <is>
          <t>A 33881-2021</t>
        </is>
      </c>
      <c r="B3354" s="1" t="n">
        <v>44378</v>
      </c>
      <c r="C3354" s="1" t="n">
        <v>45211</v>
      </c>
      <c r="D3354" t="inlineStr">
        <is>
          <t>ÖSTERGÖTLANDS LÄN</t>
        </is>
      </c>
      <c r="E3354" t="inlineStr">
        <is>
          <t>LINKÖPING</t>
        </is>
      </c>
      <c r="G3354" t="n">
        <v>3.5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s="2" t="inlineStr"/>
    </row>
    <row r="3355" ht="15" customHeight="1">
      <c r="A3355" t="inlineStr">
        <is>
          <t>A 33694-2021</t>
        </is>
      </c>
      <c r="B3355" s="1" t="n">
        <v>44378</v>
      </c>
      <c r="C3355" s="1" t="n">
        <v>45211</v>
      </c>
      <c r="D3355" t="inlineStr">
        <is>
          <t>ÖSTERGÖTLANDS LÄN</t>
        </is>
      </c>
      <c r="E3355" t="inlineStr">
        <is>
          <t>FINSPÅNG</t>
        </is>
      </c>
      <c r="F3355" t="inlineStr">
        <is>
          <t>Holmen skog AB</t>
        </is>
      </c>
      <c r="G3355" t="n">
        <v>2.5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s="2" t="inlineStr"/>
    </row>
    <row r="3356" ht="15" customHeight="1">
      <c r="A3356" t="inlineStr">
        <is>
          <t>A 33885-2021</t>
        </is>
      </c>
      <c r="B3356" s="1" t="n">
        <v>44378</v>
      </c>
      <c r="C3356" s="1" t="n">
        <v>45211</v>
      </c>
      <c r="D3356" t="inlineStr">
        <is>
          <t>ÖSTERGÖTLANDS LÄN</t>
        </is>
      </c>
      <c r="E3356" t="inlineStr">
        <is>
          <t>LINKÖPING</t>
        </is>
      </c>
      <c r="G3356" t="n">
        <v>3.5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s="2" t="inlineStr"/>
    </row>
    <row r="3357" ht="15" customHeight="1">
      <c r="A3357" t="inlineStr">
        <is>
          <t>A 34139-2021</t>
        </is>
      </c>
      <c r="B3357" s="1" t="n">
        <v>44379</v>
      </c>
      <c r="C3357" s="1" t="n">
        <v>45211</v>
      </c>
      <c r="D3357" t="inlineStr">
        <is>
          <t>ÖSTERGÖTLANDS LÄN</t>
        </is>
      </c>
      <c r="E3357" t="inlineStr">
        <is>
          <t>KINDA</t>
        </is>
      </c>
      <c r="G3357" t="n">
        <v>2.2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s="2" t="inlineStr"/>
    </row>
    <row r="3358" ht="15" customHeight="1">
      <c r="A3358" t="inlineStr">
        <is>
          <t>A 34153-2021</t>
        </is>
      </c>
      <c r="B3358" s="1" t="n">
        <v>44379</v>
      </c>
      <c r="C3358" s="1" t="n">
        <v>45211</v>
      </c>
      <c r="D3358" t="inlineStr">
        <is>
          <t>ÖSTERGÖTLANDS LÄN</t>
        </is>
      </c>
      <c r="E3358" t="inlineStr">
        <is>
          <t>SÖDERKÖPING</t>
        </is>
      </c>
      <c r="G3358" t="n">
        <v>3.4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s="2" t="inlineStr"/>
    </row>
    <row r="3359" ht="15" customHeight="1">
      <c r="A3359" t="inlineStr">
        <is>
          <t>A 34162-2021</t>
        </is>
      </c>
      <c r="B3359" s="1" t="n">
        <v>44379</v>
      </c>
      <c r="C3359" s="1" t="n">
        <v>45211</v>
      </c>
      <c r="D3359" t="inlineStr">
        <is>
          <t>ÖSTERGÖTLANDS LÄN</t>
        </is>
      </c>
      <c r="E3359" t="inlineStr">
        <is>
          <t>SÖDERKÖPING</t>
        </is>
      </c>
      <c r="G3359" t="n">
        <v>0.9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s="2" t="inlineStr"/>
    </row>
    <row r="3360" ht="15" customHeight="1">
      <c r="A3360" t="inlineStr">
        <is>
          <t>A 34209-2021</t>
        </is>
      </c>
      <c r="B3360" s="1" t="n">
        <v>44379</v>
      </c>
      <c r="C3360" s="1" t="n">
        <v>45211</v>
      </c>
      <c r="D3360" t="inlineStr">
        <is>
          <t>ÖSTERGÖTLANDS LÄN</t>
        </is>
      </c>
      <c r="E3360" t="inlineStr">
        <is>
          <t>ÅTVIDABERG</t>
        </is>
      </c>
      <c r="F3360" t="inlineStr">
        <is>
          <t>Övriga Aktiebolag</t>
        </is>
      </c>
      <c r="G3360" t="n">
        <v>21.3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s="2" t="inlineStr"/>
    </row>
    <row r="3361" ht="15" customHeight="1">
      <c r="A3361" t="inlineStr">
        <is>
          <t>A 34135-2021</t>
        </is>
      </c>
      <c r="B3361" s="1" t="n">
        <v>44379</v>
      </c>
      <c r="C3361" s="1" t="n">
        <v>45211</v>
      </c>
      <c r="D3361" t="inlineStr">
        <is>
          <t>ÖSTERGÖTLANDS LÄN</t>
        </is>
      </c>
      <c r="E3361" t="inlineStr">
        <is>
          <t>KINDA</t>
        </is>
      </c>
      <c r="G3361" t="n">
        <v>1.5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s="2" t="inlineStr"/>
    </row>
    <row r="3362" ht="15" customHeight="1">
      <c r="A3362" t="inlineStr">
        <is>
          <t>A 34127-2021</t>
        </is>
      </c>
      <c r="B3362" s="1" t="n">
        <v>44379</v>
      </c>
      <c r="C3362" s="1" t="n">
        <v>45211</v>
      </c>
      <c r="D3362" t="inlineStr">
        <is>
          <t>ÖSTERGÖTLANDS LÄN</t>
        </is>
      </c>
      <c r="E3362" t="inlineStr">
        <is>
          <t>KINDA</t>
        </is>
      </c>
      <c r="G3362" t="n">
        <v>1.1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s="2" t="inlineStr"/>
    </row>
    <row r="3363" ht="15" customHeight="1">
      <c r="A3363" t="inlineStr">
        <is>
          <t>A 34177-2021</t>
        </is>
      </c>
      <c r="B3363" s="1" t="n">
        <v>44379</v>
      </c>
      <c r="C3363" s="1" t="n">
        <v>45211</v>
      </c>
      <c r="D3363" t="inlineStr">
        <is>
          <t>ÖSTERGÖTLANDS LÄN</t>
        </is>
      </c>
      <c r="E3363" t="inlineStr">
        <is>
          <t>SÖDERKÖPING</t>
        </is>
      </c>
      <c r="G3363" t="n">
        <v>2.6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s="2" t="inlineStr"/>
    </row>
    <row r="3364" ht="15" customHeight="1">
      <c r="A3364" t="inlineStr">
        <is>
          <t>A 34182-2021</t>
        </is>
      </c>
      <c r="B3364" s="1" t="n">
        <v>44379</v>
      </c>
      <c r="C3364" s="1" t="n">
        <v>45211</v>
      </c>
      <c r="D3364" t="inlineStr">
        <is>
          <t>ÖSTERGÖTLANDS LÄN</t>
        </is>
      </c>
      <c r="E3364" t="inlineStr">
        <is>
          <t>SÖDERKÖPING</t>
        </is>
      </c>
      <c r="G3364" t="n">
        <v>3.2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s="2" t="inlineStr"/>
    </row>
    <row r="3365" ht="15" customHeight="1">
      <c r="A3365" t="inlineStr">
        <is>
          <t>A 34123-2021</t>
        </is>
      </c>
      <c r="B3365" s="1" t="n">
        <v>44379</v>
      </c>
      <c r="C3365" s="1" t="n">
        <v>45211</v>
      </c>
      <c r="D3365" t="inlineStr">
        <is>
          <t>ÖSTERGÖTLANDS LÄN</t>
        </is>
      </c>
      <c r="E3365" t="inlineStr">
        <is>
          <t>KINDA</t>
        </is>
      </c>
      <c r="G3365" t="n">
        <v>1.3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s="2" t="inlineStr"/>
    </row>
    <row r="3366" ht="15" customHeight="1">
      <c r="A3366" t="inlineStr">
        <is>
          <t>A 34131-2021</t>
        </is>
      </c>
      <c r="B3366" s="1" t="n">
        <v>44379</v>
      </c>
      <c r="C3366" s="1" t="n">
        <v>45211</v>
      </c>
      <c r="D3366" t="inlineStr">
        <is>
          <t>ÖSTERGÖTLANDS LÄN</t>
        </is>
      </c>
      <c r="E3366" t="inlineStr">
        <is>
          <t>KINDA</t>
        </is>
      </c>
      <c r="G3366" t="n">
        <v>1.9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s="2" t="inlineStr"/>
    </row>
    <row r="3367" ht="15" customHeight="1">
      <c r="A3367" t="inlineStr">
        <is>
          <t>A 34166-2021</t>
        </is>
      </c>
      <c r="B3367" s="1" t="n">
        <v>44379</v>
      </c>
      <c r="C3367" s="1" t="n">
        <v>45211</v>
      </c>
      <c r="D3367" t="inlineStr">
        <is>
          <t>ÖSTERGÖTLANDS LÄN</t>
        </is>
      </c>
      <c r="E3367" t="inlineStr">
        <is>
          <t>SÖDERKÖPING</t>
        </is>
      </c>
      <c r="G3367" t="n">
        <v>1.5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s="2" t="inlineStr"/>
    </row>
    <row r="3368" ht="15" customHeight="1">
      <c r="A3368" t="inlineStr">
        <is>
          <t>A 34180-2021</t>
        </is>
      </c>
      <c r="B3368" s="1" t="n">
        <v>44379</v>
      </c>
      <c r="C3368" s="1" t="n">
        <v>45211</v>
      </c>
      <c r="D3368" t="inlineStr">
        <is>
          <t>ÖSTERGÖTLANDS LÄN</t>
        </is>
      </c>
      <c r="E3368" t="inlineStr">
        <is>
          <t>SÖDERKÖPING</t>
        </is>
      </c>
      <c r="G3368" t="n">
        <v>1.3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s="2" t="inlineStr"/>
    </row>
    <row r="3369" ht="15" customHeight="1">
      <c r="A3369" t="inlineStr">
        <is>
          <t>A 34601-2021</t>
        </is>
      </c>
      <c r="B3369" s="1" t="n">
        <v>44382</v>
      </c>
      <c r="C3369" s="1" t="n">
        <v>45211</v>
      </c>
      <c r="D3369" t="inlineStr">
        <is>
          <t>ÖSTERGÖTLANDS LÄN</t>
        </is>
      </c>
      <c r="E3369" t="inlineStr">
        <is>
          <t>KINDA</t>
        </is>
      </c>
      <c r="G3369" t="n">
        <v>3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s="2" t="inlineStr"/>
    </row>
    <row r="3370" ht="15" customHeight="1">
      <c r="A3370" t="inlineStr">
        <is>
          <t>A 34705-2021</t>
        </is>
      </c>
      <c r="B3370" s="1" t="n">
        <v>44382</v>
      </c>
      <c r="C3370" s="1" t="n">
        <v>45211</v>
      </c>
      <c r="D3370" t="inlineStr">
        <is>
          <t>ÖSTERGÖTLANDS LÄN</t>
        </is>
      </c>
      <c r="E3370" t="inlineStr">
        <is>
          <t>YDRE</t>
        </is>
      </c>
      <c r="G3370" t="n">
        <v>1.8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s="2" t="inlineStr"/>
    </row>
    <row r="3371" ht="15" customHeight="1">
      <c r="A3371" t="inlineStr">
        <is>
          <t>A 35096-2021</t>
        </is>
      </c>
      <c r="B3371" s="1" t="n">
        <v>44383</v>
      </c>
      <c r="C3371" s="1" t="n">
        <v>45211</v>
      </c>
      <c r="D3371" t="inlineStr">
        <is>
          <t>ÖSTERGÖTLANDS LÄN</t>
        </is>
      </c>
      <c r="E3371" t="inlineStr">
        <is>
          <t>FINSPÅNG</t>
        </is>
      </c>
      <c r="G3371" t="n">
        <v>1.2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s="2" t="inlineStr"/>
    </row>
    <row r="3372" ht="15" customHeight="1">
      <c r="A3372" t="inlineStr">
        <is>
          <t>A 35098-2021</t>
        </is>
      </c>
      <c r="B3372" s="1" t="n">
        <v>44383</v>
      </c>
      <c r="C3372" s="1" t="n">
        <v>45211</v>
      </c>
      <c r="D3372" t="inlineStr">
        <is>
          <t>ÖSTERGÖTLANDS LÄN</t>
        </is>
      </c>
      <c r="E3372" t="inlineStr">
        <is>
          <t>FINSPÅNG</t>
        </is>
      </c>
      <c r="G3372" t="n">
        <v>1.6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s="2" t="inlineStr"/>
    </row>
    <row r="3373" ht="15" customHeight="1">
      <c r="A3373" t="inlineStr">
        <is>
          <t>A 35187-2021</t>
        </is>
      </c>
      <c r="B3373" s="1" t="n">
        <v>44384</v>
      </c>
      <c r="C3373" s="1" t="n">
        <v>45211</v>
      </c>
      <c r="D3373" t="inlineStr">
        <is>
          <t>ÖSTERGÖTLANDS LÄN</t>
        </is>
      </c>
      <c r="E3373" t="inlineStr">
        <is>
          <t>BOXHOLM</t>
        </is>
      </c>
      <c r="G3373" t="n">
        <v>2.5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s="2" t="inlineStr"/>
    </row>
    <row r="3374" ht="15" customHeight="1">
      <c r="A3374" t="inlineStr">
        <is>
          <t>A 35293-2021</t>
        </is>
      </c>
      <c r="B3374" s="1" t="n">
        <v>44384</v>
      </c>
      <c r="C3374" s="1" t="n">
        <v>45211</v>
      </c>
      <c r="D3374" t="inlineStr">
        <is>
          <t>ÖSTERGÖTLANDS LÄN</t>
        </is>
      </c>
      <c r="E3374" t="inlineStr">
        <is>
          <t>NORRKÖPING</t>
        </is>
      </c>
      <c r="F3374" t="inlineStr">
        <is>
          <t>Kyrkan</t>
        </is>
      </c>
      <c r="G3374" t="n">
        <v>1.1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s="2" t="inlineStr"/>
    </row>
    <row r="3375" ht="15" customHeight="1">
      <c r="A3375" t="inlineStr">
        <is>
          <t>A 35283-2021</t>
        </is>
      </c>
      <c r="B3375" s="1" t="n">
        <v>44384</v>
      </c>
      <c r="C3375" s="1" t="n">
        <v>45211</v>
      </c>
      <c r="D3375" t="inlineStr">
        <is>
          <t>ÖSTERGÖTLANDS LÄN</t>
        </is>
      </c>
      <c r="E3375" t="inlineStr">
        <is>
          <t>BOXHOLM</t>
        </is>
      </c>
      <c r="G3375" t="n">
        <v>0.2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s="2" t="inlineStr"/>
    </row>
    <row r="3376" ht="15" customHeight="1">
      <c r="A3376" t="inlineStr">
        <is>
          <t>A 35314-2021</t>
        </is>
      </c>
      <c r="B3376" s="1" t="n">
        <v>44384</v>
      </c>
      <c r="C3376" s="1" t="n">
        <v>45211</v>
      </c>
      <c r="D3376" t="inlineStr">
        <is>
          <t>ÖSTERGÖTLANDS LÄN</t>
        </is>
      </c>
      <c r="E3376" t="inlineStr">
        <is>
          <t>MOTALA</t>
        </is>
      </c>
      <c r="G3376" t="n">
        <v>5.9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s="2" t="inlineStr"/>
    </row>
    <row r="3377" ht="15" customHeight="1">
      <c r="A3377" t="inlineStr">
        <is>
          <t>A 35512-2021</t>
        </is>
      </c>
      <c r="B3377" s="1" t="n">
        <v>44385</v>
      </c>
      <c r="C3377" s="1" t="n">
        <v>45211</v>
      </c>
      <c r="D3377" t="inlineStr">
        <is>
          <t>ÖSTERGÖTLANDS LÄN</t>
        </is>
      </c>
      <c r="E3377" t="inlineStr">
        <is>
          <t>NORRKÖPING</t>
        </is>
      </c>
      <c r="G3377" t="n">
        <v>13.3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s="2" t="inlineStr"/>
    </row>
    <row r="3378" ht="15" customHeight="1">
      <c r="A3378" t="inlineStr">
        <is>
          <t>A 35474-2021</t>
        </is>
      </c>
      <c r="B3378" s="1" t="n">
        <v>44385</v>
      </c>
      <c r="C3378" s="1" t="n">
        <v>45211</v>
      </c>
      <c r="D3378" t="inlineStr">
        <is>
          <t>ÖSTERGÖTLANDS LÄN</t>
        </is>
      </c>
      <c r="E3378" t="inlineStr">
        <is>
          <t>ÖDESHÖG</t>
        </is>
      </c>
      <c r="G3378" t="n">
        <v>0.8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s="2" t="inlineStr"/>
    </row>
    <row r="3379" ht="15" customHeight="1">
      <c r="A3379" t="inlineStr">
        <is>
          <t>A 35717-2021</t>
        </is>
      </c>
      <c r="B3379" s="1" t="n">
        <v>44386</v>
      </c>
      <c r="C3379" s="1" t="n">
        <v>45211</v>
      </c>
      <c r="D3379" t="inlineStr">
        <is>
          <t>ÖSTERGÖTLANDS LÄN</t>
        </is>
      </c>
      <c r="E3379" t="inlineStr">
        <is>
          <t>YDRE</t>
        </is>
      </c>
      <c r="G3379" t="n">
        <v>2.4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s="2" t="inlineStr"/>
    </row>
    <row r="3380" ht="15" customHeight="1">
      <c r="A3380" t="inlineStr">
        <is>
          <t>A 36281-2021</t>
        </is>
      </c>
      <c r="B3380" s="1" t="n">
        <v>44390</v>
      </c>
      <c r="C3380" s="1" t="n">
        <v>45211</v>
      </c>
      <c r="D3380" t="inlineStr">
        <is>
          <t>ÖSTERGÖTLANDS LÄN</t>
        </is>
      </c>
      <c r="E3380" t="inlineStr">
        <is>
          <t>NORRKÖPING</t>
        </is>
      </c>
      <c r="G3380" t="n">
        <v>3.8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s="2" t="inlineStr"/>
    </row>
    <row r="3381" ht="15" customHeight="1">
      <c r="A3381" t="inlineStr">
        <is>
          <t>A 36320-2021</t>
        </is>
      </c>
      <c r="B3381" s="1" t="n">
        <v>44390</v>
      </c>
      <c r="C3381" s="1" t="n">
        <v>45211</v>
      </c>
      <c r="D3381" t="inlineStr">
        <is>
          <t>ÖSTERGÖTLANDS LÄN</t>
        </is>
      </c>
      <c r="E3381" t="inlineStr">
        <is>
          <t>ÅTVIDABERG</t>
        </is>
      </c>
      <c r="G3381" t="n">
        <v>0.3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s="2" t="inlineStr"/>
    </row>
    <row r="3382" ht="15" customHeight="1">
      <c r="A3382" t="inlineStr">
        <is>
          <t>A 36545-2021</t>
        </is>
      </c>
      <c r="B3382" s="1" t="n">
        <v>44391</v>
      </c>
      <c r="C3382" s="1" t="n">
        <v>45211</v>
      </c>
      <c r="D3382" t="inlineStr">
        <is>
          <t>ÖSTERGÖTLANDS LÄN</t>
        </is>
      </c>
      <c r="E3382" t="inlineStr">
        <is>
          <t>FINSPÅNG</t>
        </is>
      </c>
      <c r="G3382" t="n">
        <v>1.9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s="2" t="inlineStr"/>
    </row>
    <row r="3383" ht="15" customHeight="1">
      <c r="A3383" t="inlineStr">
        <is>
          <t>A 36740-2021</t>
        </is>
      </c>
      <c r="B3383" s="1" t="n">
        <v>44392</v>
      </c>
      <c r="C3383" s="1" t="n">
        <v>45211</v>
      </c>
      <c r="D3383" t="inlineStr">
        <is>
          <t>ÖSTERGÖTLANDS LÄN</t>
        </is>
      </c>
      <c r="E3383" t="inlineStr">
        <is>
          <t>KINDA</t>
        </is>
      </c>
      <c r="G3383" t="n">
        <v>1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s="2" t="inlineStr"/>
    </row>
    <row r="3384" ht="15" customHeight="1">
      <c r="A3384" t="inlineStr">
        <is>
          <t>A 36658-2021</t>
        </is>
      </c>
      <c r="B3384" s="1" t="n">
        <v>44392</v>
      </c>
      <c r="C3384" s="1" t="n">
        <v>45211</v>
      </c>
      <c r="D3384" t="inlineStr">
        <is>
          <t>ÖSTERGÖTLANDS LÄN</t>
        </is>
      </c>
      <c r="E3384" t="inlineStr">
        <is>
          <t>MOTALA</t>
        </is>
      </c>
      <c r="F3384" t="inlineStr">
        <is>
          <t>Sveaskog</t>
        </is>
      </c>
      <c r="G3384" t="n">
        <v>1.9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s="2" t="inlineStr"/>
    </row>
    <row r="3385" ht="15" customHeight="1">
      <c r="A3385" t="inlineStr">
        <is>
          <t>A 36772-2021</t>
        </is>
      </c>
      <c r="B3385" s="1" t="n">
        <v>44392</v>
      </c>
      <c r="C3385" s="1" t="n">
        <v>45211</v>
      </c>
      <c r="D3385" t="inlineStr">
        <is>
          <t>ÖSTERGÖTLANDS LÄN</t>
        </is>
      </c>
      <c r="E3385" t="inlineStr">
        <is>
          <t>ÅTVIDABERG</t>
        </is>
      </c>
      <c r="G3385" t="n">
        <v>1.1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s="2" t="inlineStr"/>
    </row>
    <row r="3386" ht="15" customHeight="1">
      <c r="A3386" t="inlineStr">
        <is>
          <t>A 36804-2021</t>
        </is>
      </c>
      <c r="B3386" s="1" t="n">
        <v>44392</v>
      </c>
      <c r="C3386" s="1" t="n">
        <v>45211</v>
      </c>
      <c r="D3386" t="inlineStr">
        <is>
          <t>ÖSTERGÖTLANDS LÄN</t>
        </is>
      </c>
      <c r="E3386" t="inlineStr">
        <is>
          <t>YDRE</t>
        </is>
      </c>
      <c r="F3386" t="inlineStr">
        <is>
          <t>Sveaskog</t>
        </is>
      </c>
      <c r="G3386" t="n">
        <v>1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s="2" t="inlineStr"/>
    </row>
    <row r="3387" ht="15" customHeight="1">
      <c r="A3387" t="inlineStr">
        <is>
          <t>A 36777-2021</t>
        </is>
      </c>
      <c r="B3387" s="1" t="n">
        <v>44392</v>
      </c>
      <c r="C3387" s="1" t="n">
        <v>45211</v>
      </c>
      <c r="D3387" t="inlineStr">
        <is>
          <t>ÖSTERGÖTLANDS LÄN</t>
        </is>
      </c>
      <c r="E3387" t="inlineStr">
        <is>
          <t>ÅTVIDABERG</t>
        </is>
      </c>
      <c r="G3387" t="n">
        <v>1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s="2" t="inlineStr"/>
    </row>
    <row r="3388" ht="15" customHeight="1">
      <c r="A3388" t="inlineStr">
        <is>
          <t>A 37014-2021</t>
        </is>
      </c>
      <c r="B3388" s="1" t="n">
        <v>44393</v>
      </c>
      <c r="C3388" s="1" t="n">
        <v>45211</v>
      </c>
      <c r="D3388" t="inlineStr">
        <is>
          <t>ÖSTERGÖTLANDS LÄN</t>
        </is>
      </c>
      <c r="E3388" t="inlineStr">
        <is>
          <t>LINKÖPING</t>
        </is>
      </c>
      <c r="F3388" t="inlineStr">
        <is>
          <t>Allmännings- och besparingsskogar</t>
        </is>
      </c>
      <c r="G3388" t="n">
        <v>7.7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s="2" t="inlineStr"/>
    </row>
    <row r="3389" ht="15" customHeight="1">
      <c r="A3389" t="inlineStr">
        <is>
          <t>A 36898-2021</t>
        </is>
      </c>
      <c r="B3389" s="1" t="n">
        <v>44393</v>
      </c>
      <c r="C3389" s="1" t="n">
        <v>45211</v>
      </c>
      <c r="D3389" t="inlineStr">
        <is>
          <t>ÖSTERGÖTLANDS LÄN</t>
        </is>
      </c>
      <c r="E3389" t="inlineStr">
        <is>
          <t>NORRKÖPING</t>
        </is>
      </c>
      <c r="G3389" t="n">
        <v>2.2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s="2" t="inlineStr"/>
    </row>
    <row r="3390" ht="15" customHeight="1">
      <c r="A3390" t="inlineStr">
        <is>
          <t>A 37012-2021</t>
        </is>
      </c>
      <c r="B3390" s="1" t="n">
        <v>44393</v>
      </c>
      <c r="C3390" s="1" t="n">
        <v>45211</v>
      </c>
      <c r="D3390" t="inlineStr">
        <is>
          <t>ÖSTERGÖTLANDS LÄN</t>
        </is>
      </c>
      <c r="E3390" t="inlineStr">
        <is>
          <t>LINKÖPING</t>
        </is>
      </c>
      <c r="F3390" t="inlineStr">
        <is>
          <t>Allmännings- och besparingsskogar</t>
        </is>
      </c>
      <c r="G3390" t="n">
        <v>1.1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s="2" t="inlineStr"/>
    </row>
    <row r="3391" ht="15" customHeight="1">
      <c r="A3391" t="inlineStr">
        <is>
          <t>A 37109-2021</t>
        </is>
      </c>
      <c r="B3391" s="1" t="n">
        <v>44396</v>
      </c>
      <c r="C3391" s="1" t="n">
        <v>45211</v>
      </c>
      <c r="D3391" t="inlineStr">
        <is>
          <t>ÖSTERGÖTLANDS LÄN</t>
        </is>
      </c>
      <c r="E3391" t="inlineStr">
        <is>
          <t>ÅTVIDABERG</t>
        </is>
      </c>
      <c r="G3391" t="n">
        <v>2.6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s="2" t="inlineStr"/>
    </row>
    <row r="3392" ht="15" customHeight="1">
      <c r="A3392" t="inlineStr">
        <is>
          <t>A 37214-2021</t>
        </is>
      </c>
      <c r="B3392" s="1" t="n">
        <v>44396</v>
      </c>
      <c r="C3392" s="1" t="n">
        <v>45211</v>
      </c>
      <c r="D3392" t="inlineStr">
        <is>
          <t>ÖSTERGÖTLANDS LÄN</t>
        </is>
      </c>
      <c r="E3392" t="inlineStr">
        <is>
          <t>MJÖLBY</t>
        </is>
      </c>
      <c r="G3392" t="n">
        <v>0.8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s="2" t="inlineStr"/>
    </row>
    <row r="3393" ht="15" customHeight="1">
      <c r="A3393" t="inlineStr">
        <is>
          <t>A 37154-2021</t>
        </is>
      </c>
      <c r="B3393" s="1" t="n">
        <v>44396</v>
      </c>
      <c r="C3393" s="1" t="n">
        <v>45211</v>
      </c>
      <c r="D3393" t="inlineStr">
        <is>
          <t>ÖSTERGÖTLANDS LÄN</t>
        </is>
      </c>
      <c r="E3393" t="inlineStr">
        <is>
          <t>FINSPÅNG</t>
        </is>
      </c>
      <c r="G3393" t="n">
        <v>4.1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s="2" t="inlineStr"/>
    </row>
    <row r="3394" ht="15" customHeight="1">
      <c r="A3394" t="inlineStr">
        <is>
          <t>A 37428-2021</t>
        </is>
      </c>
      <c r="B3394" s="1" t="n">
        <v>44398</v>
      </c>
      <c r="C3394" s="1" t="n">
        <v>45211</v>
      </c>
      <c r="D3394" t="inlineStr">
        <is>
          <t>ÖSTERGÖTLANDS LÄN</t>
        </is>
      </c>
      <c r="E3394" t="inlineStr">
        <is>
          <t>MOTALA</t>
        </is>
      </c>
      <c r="G3394" t="n">
        <v>4.4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s="2" t="inlineStr"/>
    </row>
    <row r="3395" ht="15" customHeight="1">
      <c r="A3395" t="inlineStr">
        <is>
          <t>A 37728-2021</t>
        </is>
      </c>
      <c r="B3395" s="1" t="n">
        <v>44400</v>
      </c>
      <c r="C3395" s="1" t="n">
        <v>45211</v>
      </c>
      <c r="D3395" t="inlineStr">
        <is>
          <t>ÖSTERGÖTLANDS LÄN</t>
        </is>
      </c>
      <c r="E3395" t="inlineStr">
        <is>
          <t>ÅTVIDABERG</t>
        </is>
      </c>
      <c r="G3395" t="n">
        <v>1.9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s="2" t="inlineStr"/>
    </row>
    <row r="3396" ht="15" customHeight="1">
      <c r="A3396" t="inlineStr">
        <is>
          <t>A 38130-2021</t>
        </is>
      </c>
      <c r="B3396" s="1" t="n">
        <v>44405</v>
      </c>
      <c r="C3396" s="1" t="n">
        <v>45211</v>
      </c>
      <c r="D3396" t="inlineStr">
        <is>
          <t>ÖSTERGÖTLANDS LÄN</t>
        </is>
      </c>
      <c r="E3396" t="inlineStr">
        <is>
          <t>LINKÖPING</t>
        </is>
      </c>
      <c r="G3396" t="n">
        <v>0.7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s="2" t="inlineStr"/>
    </row>
    <row r="3397" ht="15" customHeight="1">
      <c r="A3397" t="inlineStr">
        <is>
          <t>A 38143-2021</t>
        </is>
      </c>
      <c r="B3397" s="1" t="n">
        <v>44405</v>
      </c>
      <c r="C3397" s="1" t="n">
        <v>45211</v>
      </c>
      <c r="D3397" t="inlineStr">
        <is>
          <t>ÖSTERGÖTLANDS LÄN</t>
        </is>
      </c>
      <c r="E3397" t="inlineStr">
        <is>
          <t>LINKÖPING</t>
        </is>
      </c>
      <c r="G3397" t="n">
        <v>4.1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s="2" t="inlineStr"/>
    </row>
    <row r="3398" ht="15" customHeight="1">
      <c r="A3398" t="inlineStr">
        <is>
          <t>A 38107-2021</t>
        </is>
      </c>
      <c r="B3398" s="1" t="n">
        <v>44405</v>
      </c>
      <c r="C3398" s="1" t="n">
        <v>45211</v>
      </c>
      <c r="D3398" t="inlineStr">
        <is>
          <t>ÖSTERGÖTLANDS LÄN</t>
        </is>
      </c>
      <c r="E3398" t="inlineStr">
        <is>
          <t>BOXHOLM</t>
        </is>
      </c>
      <c r="G3398" t="n">
        <v>0.8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s="2" t="inlineStr"/>
    </row>
    <row r="3399" ht="15" customHeight="1">
      <c r="A3399" t="inlineStr">
        <is>
          <t>A 38254-2021</t>
        </is>
      </c>
      <c r="B3399" s="1" t="n">
        <v>44405</v>
      </c>
      <c r="C3399" s="1" t="n">
        <v>45211</v>
      </c>
      <c r="D3399" t="inlineStr">
        <is>
          <t>ÖSTERGÖTLANDS LÄN</t>
        </is>
      </c>
      <c r="E3399" t="inlineStr">
        <is>
          <t>LINKÖPING</t>
        </is>
      </c>
      <c r="G3399" t="n">
        <v>1.9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s="2" t="inlineStr"/>
    </row>
    <row r="3400" ht="15" customHeight="1">
      <c r="A3400" t="inlineStr">
        <is>
          <t>A 38474-2021</t>
        </is>
      </c>
      <c r="B3400" s="1" t="n">
        <v>44406</v>
      </c>
      <c r="C3400" s="1" t="n">
        <v>45211</v>
      </c>
      <c r="D3400" t="inlineStr">
        <is>
          <t>ÖSTERGÖTLANDS LÄN</t>
        </is>
      </c>
      <c r="E3400" t="inlineStr">
        <is>
          <t>FINSPÅNG</t>
        </is>
      </c>
      <c r="G3400" t="n">
        <v>8.699999999999999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s="2" t="inlineStr"/>
    </row>
    <row r="3401" ht="15" customHeight="1">
      <c r="A3401" t="inlineStr">
        <is>
          <t>A 38567-2021</t>
        </is>
      </c>
      <c r="B3401" s="1" t="n">
        <v>44407</v>
      </c>
      <c r="C3401" s="1" t="n">
        <v>45211</v>
      </c>
      <c r="D3401" t="inlineStr">
        <is>
          <t>ÖSTERGÖTLANDS LÄN</t>
        </is>
      </c>
      <c r="E3401" t="inlineStr">
        <is>
          <t>ÅTVIDABERG</t>
        </is>
      </c>
      <c r="G3401" t="n">
        <v>1.7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s="2" t="inlineStr"/>
    </row>
    <row r="3402" ht="15" customHeight="1">
      <c r="A3402" t="inlineStr">
        <is>
          <t>A 38508-2021</t>
        </is>
      </c>
      <c r="B3402" s="1" t="n">
        <v>44407</v>
      </c>
      <c r="C3402" s="1" t="n">
        <v>45211</v>
      </c>
      <c r="D3402" t="inlineStr">
        <is>
          <t>ÖSTERGÖTLANDS LÄN</t>
        </is>
      </c>
      <c r="E3402" t="inlineStr">
        <is>
          <t>SÖDERKÖPING</t>
        </is>
      </c>
      <c r="G3402" t="n">
        <v>0.4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s="2" t="inlineStr"/>
    </row>
    <row r="3403" ht="15" customHeight="1">
      <c r="A3403" t="inlineStr">
        <is>
          <t>A 38569-2021</t>
        </is>
      </c>
      <c r="B3403" s="1" t="n">
        <v>44407</v>
      </c>
      <c r="C3403" s="1" t="n">
        <v>45211</v>
      </c>
      <c r="D3403" t="inlineStr">
        <is>
          <t>ÖSTERGÖTLANDS LÄN</t>
        </is>
      </c>
      <c r="E3403" t="inlineStr">
        <is>
          <t>ÅTVIDABERG</t>
        </is>
      </c>
      <c r="G3403" t="n">
        <v>1.8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s="2" t="inlineStr"/>
    </row>
    <row r="3404" ht="15" customHeight="1">
      <c r="A3404" t="inlineStr">
        <is>
          <t>A 38805-2021</t>
        </is>
      </c>
      <c r="B3404" s="1" t="n">
        <v>44410</v>
      </c>
      <c r="C3404" s="1" t="n">
        <v>45211</v>
      </c>
      <c r="D3404" t="inlineStr">
        <is>
          <t>ÖSTERGÖTLANDS LÄN</t>
        </is>
      </c>
      <c r="E3404" t="inlineStr">
        <is>
          <t>ÅTVIDABERG</t>
        </is>
      </c>
      <c r="G3404" t="n">
        <v>2.6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s="2" t="inlineStr"/>
    </row>
    <row r="3405" ht="15" customHeight="1">
      <c r="A3405" t="inlineStr">
        <is>
          <t>A 38796-2021</t>
        </is>
      </c>
      <c r="B3405" s="1" t="n">
        <v>44410</v>
      </c>
      <c r="C3405" s="1" t="n">
        <v>45211</v>
      </c>
      <c r="D3405" t="inlineStr">
        <is>
          <t>ÖSTERGÖTLANDS LÄN</t>
        </is>
      </c>
      <c r="E3405" t="inlineStr">
        <is>
          <t>VALDEMARSVIK</t>
        </is>
      </c>
      <c r="G3405" t="n">
        <v>1.3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s="2" t="inlineStr"/>
    </row>
    <row r="3406" ht="15" customHeight="1">
      <c r="A3406" t="inlineStr">
        <is>
          <t>A 38964-2021</t>
        </is>
      </c>
      <c r="B3406" s="1" t="n">
        <v>44411</v>
      </c>
      <c r="C3406" s="1" t="n">
        <v>45211</v>
      </c>
      <c r="D3406" t="inlineStr">
        <is>
          <t>ÖSTERGÖTLANDS LÄN</t>
        </is>
      </c>
      <c r="E3406" t="inlineStr">
        <is>
          <t>ÅTVIDABERG</t>
        </is>
      </c>
      <c r="G3406" t="n">
        <v>1.3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s="2" t="inlineStr"/>
    </row>
    <row r="3407" ht="15" customHeight="1">
      <c r="A3407" t="inlineStr">
        <is>
          <t>A 38887-2021</t>
        </is>
      </c>
      <c r="B3407" s="1" t="n">
        <v>44411</v>
      </c>
      <c r="C3407" s="1" t="n">
        <v>45211</v>
      </c>
      <c r="D3407" t="inlineStr">
        <is>
          <t>ÖSTERGÖTLANDS LÄN</t>
        </is>
      </c>
      <c r="E3407" t="inlineStr">
        <is>
          <t>LINKÖPING</t>
        </is>
      </c>
      <c r="G3407" t="n">
        <v>1.6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s="2" t="inlineStr"/>
    </row>
    <row r="3408" ht="15" customHeight="1">
      <c r="A3408" t="inlineStr">
        <is>
          <t>A 38961-2021</t>
        </is>
      </c>
      <c r="B3408" s="1" t="n">
        <v>44411</v>
      </c>
      <c r="C3408" s="1" t="n">
        <v>45211</v>
      </c>
      <c r="D3408" t="inlineStr">
        <is>
          <t>ÖSTERGÖTLANDS LÄN</t>
        </is>
      </c>
      <c r="E3408" t="inlineStr">
        <is>
          <t>LINKÖPING</t>
        </is>
      </c>
      <c r="G3408" t="n">
        <v>1.3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s="2" t="inlineStr"/>
    </row>
    <row r="3409" ht="15" customHeight="1">
      <c r="A3409" t="inlineStr">
        <is>
          <t>A 38827-2021</t>
        </is>
      </c>
      <c r="B3409" s="1" t="n">
        <v>44411</v>
      </c>
      <c r="C3409" s="1" t="n">
        <v>45211</v>
      </c>
      <c r="D3409" t="inlineStr">
        <is>
          <t>ÖSTERGÖTLANDS LÄN</t>
        </is>
      </c>
      <c r="E3409" t="inlineStr">
        <is>
          <t>KINDA</t>
        </is>
      </c>
      <c r="F3409" t="inlineStr">
        <is>
          <t>Övriga Aktiebolag</t>
        </is>
      </c>
      <c r="G3409" t="n">
        <v>13.6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s="2" t="inlineStr"/>
    </row>
    <row r="3410" ht="15" customHeight="1">
      <c r="A3410" t="inlineStr">
        <is>
          <t>A 38966-2021</t>
        </is>
      </c>
      <c r="B3410" s="1" t="n">
        <v>44411</v>
      </c>
      <c r="C3410" s="1" t="n">
        <v>45211</v>
      </c>
      <c r="D3410" t="inlineStr">
        <is>
          <t>ÖSTERGÖTLANDS LÄN</t>
        </is>
      </c>
      <c r="E3410" t="inlineStr">
        <is>
          <t>ÅTVIDABERG</t>
        </is>
      </c>
      <c r="G3410" t="n">
        <v>0.5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s="2" t="inlineStr"/>
    </row>
    <row r="3411" ht="15" customHeight="1">
      <c r="A3411" t="inlineStr">
        <is>
          <t>A 38948-2021</t>
        </is>
      </c>
      <c r="B3411" s="1" t="n">
        <v>44411</v>
      </c>
      <c r="C3411" s="1" t="n">
        <v>45211</v>
      </c>
      <c r="D3411" t="inlineStr">
        <is>
          <t>ÖSTERGÖTLANDS LÄN</t>
        </is>
      </c>
      <c r="E3411" t="inlineStr">
        <is>
          <t>KINDA</t>
        </is>
      </c>
      <c r="G3411" t="n">
        <v>0.5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s="2" t="inlineStr"/>
    </row>
    <row r="3412" ht="15" customHeight="1">
      <c r="A3412" t="inlineStr">
        <is>
          <t>A 39007-2021</t>
        </is>
      </c>
      <c r="B3412" s="1" t="n">
        <v>44412</v>
      </c>
      <c r="C3412" s="1" t="n">
        <v>45211</v>
      </c>
      <c r="D3412" t="inlineStr">
        <is>
          <t>ÖSTERGÖTLANDS LÄN</t>
        </is>
      </c>
      <c r="E3412" t="inlineStr">
        <is>
          <t>FINSPÅNG</t>
        </is>
      </c>
      <c r="F3412" t="inlineStr">
        <is>
          <t>Holmen skog AB</t>
        </is>
      </c>
      <c r="G3412" t="n">
        <v>3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s="2" t="inlineStr"/>
    </row>
    <row r="3413" ht="15" customHeight="1">
      <c r="A3413" t="inlineStr">
        <is>
          <t>A 39017-2021</t>
        </is>
      </c>
      <c r="B3413" s="1" t="n">
        <v>44412</v>
      </c>
      <c r="C3413" s="1" t="n">
        <v>45211</v>
      </c>
      <c r="D3413" t="inlineStr">
        <is>
          <t>ÖSTERGÖTLANDS LÄN</t>
        </is>
      </c>
      <c r="E3413" t="inlineStr">
        <is>
          <t>LINKÖPING</t>
        </is>
      </c>
      <c r="F3413" t="inlineStr">
        <is>
          <t>Övriga statliga verk och myndigheter</t>
        </is>
      </c>
      <c r="G3413" t="n">
        <v>0.8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s="2" t="inlineStr"/>
    </row>
    <row r="3414" ht="15" customHeight="1">
      <c r="A3414" t="inlineStr">
        <is>
          <t>A 39021-2021</t>
        </is>
      </c>
      <c r="B3414" s="1" t="n">
        <v>44412</v>
      </c>
      <c r="C3414" s="1" t="n">
        <v>45211</v>
      </c>
      <c r="D3414" t="inlineStr">
        <is>
          <t>ÖSTERGÖTLANDS LÄN</t>
        </is>
      </c>
      <c r="E3414" t="inlineStr">
        <is>
          <t>LINKÖPING</t>
        </is>
      </c>
      <c r="G3414" t="n">
        <v>0.8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s="2" t="inlineStr"/>
    </row>
    <row r="3415" ht="15" customHeight="1">
      <c r="A3415" t="inlineStr">
        <is>
          <t>A 39123-2021</t>
        </is>
      </c>
      <c r="B3415" s="1" t="n">
        <v>44412</v>
      </c>
      <c r="C3415" s="1" t="n">
        <v>45211</v>
      </c>
      <c r="D3415" t="inlineStr">
        <is>
          <t>ÖSTERGÖTLANDS LÄN</t>
        </is>
      </c>
      <c r="E3415" t="inlineStr">
        <is>
          <t>ÅTVIDABERG</t>
        </is>
      </c>
      <c r="G3415" t="n">
        <v>0.6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s="2" t="inlineStr"/>
    </row>
    <row r="3416" ht="15" customHeight="1">
      <c r="A3416" t="inlineStr">
        <is>
          <t>A 39136-2021</t>
        </is>
      </c>
      <c r="B3416" s="1" t="n">
        <v>44412</v>
      </c>
      <c r="C3416" s="1" t="n">
        <v>45211</v>
      </c>
      <c r="D3416" t="inlineStr">
        <is>
          <t>ÖSTERGÖTLANDS LÄN</t>
        </is>
      </c>
      <c r="E3416" t="inlineStr">
        <is>
          <t>NORRKÖPING</t>
        </is>
      </c>
      <c r="F3416" t="inlineStr">
        <is>
          <t>Allmännings- och besparingsskogar</t>
        </is>
      </c>
      <c r="G3416" t="n">
        <v>6.4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s="2" t="inlineStr"/>
    </row>
    <row r="3417" ht="15" customHeight="1">
      <c r="A3417" t="inlineStr">
        <is>
          <t>A 39043-2021</t>
        </is>
      </c>
      <c r="B3417" s="1" t="n">
        <v>44412</v>
      </c>
      <c r="C3417" s="1" t="n">
        <v>45211</v>
      </c>
      <c r="D3417" t="inlineStr">
        <is>
          <t>ÖSTERGÖTLANDS LÄN</t>
        </is>
      </c>
      <c r="E3417" t="inlineStr">
        <is>
          <t>FINSPÅNG</t>
        </is>
      </c>
      <c r="F3417" t="inlineStr">
        <is>
          <t>Holmen skog AB</t>
        </is>
      </c>
      <c r="G3417" t="n">
        <v>1.1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s="2" t="inlineStr"/>
    </row>
    <row r="3418" ht="15" customHeight="1">
      <c r="A3418" t="inlineStr">
        <is>
          <t>A 39107-2021</t>
        </is>
      </c>
      <c r="B3418" s="1" t="n">
        <v>44412</v>
      </c>
      <c r="C3418" s="1" t="n">
        <v>45211</v>
      </c>
      <c r="D3418" t="inlineStr">
        <is>
          <t>ÖSTERGÖTLANDS LÄN</t>
        </is>
      </c>
      <c r="E3418" t="inlineStr">
        <is>
          <t>LINKÖPING</t>
        </is>
      </c>
      <c r="F3418" t="inlineStr">
        <is>
          <t>Övriga Aktiebolag</t>
        </is>
      </c>
      <c r="G3418" t="n">
        <v>1.2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s="2" t="inlineStr"/>
    </row>
    <row r="3419" ht="15" customHeight="1">
      <c r="A3419" t="inlineStr">
        <is>
          <t>A 39236-2021</t>
        </is>
      </c>
      <c r="B3419" s="1" t="n">
        <v>44413</v>
      </c>
      <c r="C3419" s="1" t="n">
        <v>45211</v>
      </c>
      <c r="D3419" t="inlineStr">
        <is>
          <t>ÖSTERGÖTLANDS LÄN</t>
        </is>
      </c>
      <c r="E3419" t="inlineStr">
        <is>
          <t>LINKÖPING</t>
        </is>
      </c>
      <c r="G3419" t="n">
        <v>3.3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s="2" t="inlineStr"/>
    </row>
    <row r="3420" ht="15" customHeight="1">
      <c r="A3420" t="inlineStr">
        <is>
          <t>A 39219-2021</t>
        </is>
      </c>
      <c r="B3420" s="1" t="n">
        <v>44413</v>
      </c>
      <c r="C3420" s="1" t="n">
        <v>45211</v>
      </c>
      <c r="D3420" t="inlineStr">
        <is>
          <t>ÖSTERGÖTLANDS LÄN</t>
        </is>
      </c>
      <c r="E3420" t="inlineStr">
        <is>
          <t>LINKÖPING</t>
        </is>
      </c>
      <c r="G3420" t="n">
        <v>1.4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s="2" t="inlineStr"/>
    </row>
    <row r="3421" ht="15" customHeight="1">
      <c r="A3421" t="inlineStr">
        <is>
          <t>A 39319-2021</t>
        </is>
      </c>
      <c r="B3421" s="1" t="n">
        <v>44413</v>
      </c>
      <c r="C3421" s="1" t="n">
        <v>45211</v>
      </c>
      <c r="D3421" t="inlineStr">
        <is>
          <t>ÖSTERGÖTLANDS LÄN</t>
        </is>
      </c>
      <c r="E3421" t="inlineStr">
        <is>
          <t>YDRE</t>
        </is>
      </c>
      <c r="G3421" t="n">
        <v>0.5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s="2" t="inlineStr"/>
    </row>
    <row r="3422" ht="15" customHeight="1">
      <c r="A3422" t="inlineStr">
        <is>
          <t>A 39620-2021</t>
        </is>
      </c>
      <c r="B3422" s="1" t="n">
        <v>44413</v>
      </c>
      <c r="C3422" s="1" t="n">
        <v>45211</v>
      </c>
      <c r="D3422" t="inlineStr">
        <is>
          <t>ÖSTERGÖTLANDS LÄN</t>
        </is>
      </c>
      <c r="E3422" t="inlineStr">
        <is>
          <t>MOTALA</t>
        </is>
      </c>
      <c r="G3422" t="n">
        <v>1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s="2" t="inlineStr"/>
    </row>
    <row r="3423" ht="15" customHeight="1">
      <c r="A3423" t="inlineStr">
        <is>
          <t>A 39239-2021</t>
        </is>
      </c>
      <c r="B3423" s="1" t="n">
        <v>44413</v>
      </c>
      <c r="C3423" s="1" t="n">
        <v>45211</v>
      </c>
      <c r="D3423" t="inlineStr">
        <is>
          <t>ÖSTERGÖTLANDS LÄN</t>
        </is>
      </c>
      <c r="E3423" t="inlineStr">
        <is>
          <t>LINKÖPING</t>
        </is>
      </c>
      <c r="G3423" t="n">
        <v>3.2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s="2" t="inlineStr"/>
    </row>
    <row r="3424" ht="15" customHeight="1">
      <c r="A3424" t="inlineStr">
        <is>
          <t>A 39630-2021</t>
        </is>
      </c>
      <c r="B3424" s="1" t="n">
        <v>44413</v>
      </c>
      <c r="C3424" s="1" t="n">
        <v>45211</v>
      </c>
      <c r="D3424" t="inlineStr">
        <is>
          <t>ÖSTERGÖTLANDS LÄN</t>
        </is>
      </c>
      <c r="E3424" t="inlineStr">
        <is>
          <t>MOTALA</t>
        </is>
      </c>
      <c r="G3424" t="n">
        <v>1.7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s="2" t="inlineStr"/>
    </row>
    <row r="3425" ht="15" customHeight="1">
      <c r="A3425" t="inlineStr">
        <is>
          <t>A 39224-2021</t>
        </is>
      </c>
      <c r="B3425" s="1" t="n">
        <v>44413</v>
      </c>
      <c r="C3425" s="1" t="n">
        <v>45211</v>
      </c>
      <c r="D3425" t="inlineStr">
        <is>
          <t>ÖSTERGÖTLANDS LÄN</t>
        </is>
      </c>
      <c r="E3425" t="inlineStr">
        <is>
          <t>LINKÖPING</t>
        </is>
      </c>
      <c r="G3425" t="n">
        <v>2.1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s="2" t="inlineStr"/>
    </row>
    <row r="3426" ht="15" customHeight="1">
      <c r="A3426" t="inlineStr">
        <is>
          <t>A 39401-2021</t>
        </is>
      </c>
      <c r="B3426" s="1" t="n">
        <v>44414</v>
      </c>
      <c r="C3426" s="1" t="n">
        <v>45211</v>
      </c>
      <c r="D3426" t="inlineStr">
        <is>
          <t>ÖSTERGÖTLANDS LÄN</t>
        </is>
      </c>
      <c r="E3426" t="inlineStr">
        <is>
          <t>NORRKÖPING</t>
        </is>
      </c>
      <c r="G3426" t="n">
        <v>0.8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s="2" t="inlineStr"/>
    </row>
    <row r="3427" ht="15" customHeight="1">
      <c r="A3427" t="inlineStr">
        <is>
          <t>A 39494-2021</t>
        </is>
      </c>
      <c r="B3427" s="1" t="n">
        <v>44414</v>
      </c>
      <c r="C3427" s="1" t="n">
        <v>45211</v>
      </c>
      <c r="D3427" t="inlineStr">
        <is>
          <t>ÖSTERGÖTLANDS LÄN</t>
        </is>
      </c>
      <c r="E3427" t="inlineStr">
        <is>
          <t>MOTALA</t>
        </is>
      </c>
      <c r="G3427" t="n">
        <v>0.6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s="2" t="inlineStr"/>
    </row>
    <row r="3428" ht="15" customHeight="1">
      <c r="A3428" t="inlineStr">
        <is>
          <t>A 39552-2021</t>
        </is>
      </c>
      <c r="B3428" s="1" t="n">
        <v>44416</v>
      </c>
      <c r="C3428" s="1" t="n">
        <v>45211</v>
      </c>
      <c r="D3428" t="inlineStr">
        <is>
          <t>ÖSTERGÖTLANDS LÄN</t>
        </is>
      </c>
      <c r="E3428" t="inlineStr">
        <is>
          <t>KINDA</t>
        </is>
      </c>
      <c r="G3428" t="n">
        <v>0.6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s="2" t="inlineStr"/>
    </row>
    <row r="3429" ht="15" customHeight="1">
      <c r="A3429" t="inlineStr">
        <is>
          <t>A 39864-2021</t>
        </is>
      </c>
      <c r="B3429" s="1" t="n">
        <v>44417</v>
      </c>
      <c r="C3429" s="1" t="n">
        <v>45211</v>
      </c>
      <c r="D3429" t="inlineStr">
        <is>
          <t>ÖSTERGÖTLANDS LÄN</t>
        </is>
      </c>
      <c r="E3429" t="inlineStr">
        <is>
          <t>VALDEMARSVIK</t>
        </is>
      </c>
      <c r="G3429" t="n">
        <v>1.3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s="2" t="inlineStr"/>
    </row>
    <row r="3430" ht="15" customHeight="1">
      <c r="A3430" t="inlineStr">
        <is>
          <t>A 39882-2021</t>
        </is>
      </c>
      <c r="B3430" s="1" t="n">
        <v>44417</v>
      </c>
      <c r="C3430" s="1" t="n">
        <v>45211</v>
      </c>
      <c r="D3430" t="inlineStr">
        <is>
          <t>ÖSTERGÖTLANDS LÄN</t>
        </is>
      </c>
      <c r="E3430" t="inlineStr">
        <is>
          <t>ÅTVIDABERG</t>
        </is>
      </c>
      <c r="G3430" t="n">
        <v>0.6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s="2" t="inlineStr"/>
    </row>
    <row r="3431" ht="15" customHeight="1">
      <c r="A3431" t="inlineStr">
        <is>
          <t>A 39961-2021</t>
        </is>
      </c>
      <c r="B3431" s="1" t="n">
        <v>44417</v>
      </c>
      <c r="C3431" s="1" t="n">
        <v>45211</v>
      </c>
      <c r="D3431" t="inlineStr">
        <is>
          <t>ÖSTERGÖTLANDS LÄN</t>
        </is>
      </c>
      <c r="E3431" t="inlineStr">
        <is>
          <t>VALDEMARSVIK</t>
        </is>
      </c>
      <c r="G3431" t="n">
        <v>1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s="2" t="inlineStr"/>
    </row>
    <row r="3432" ht="15" customHeight="1">
      <c r="A3432" t="inlineStr">
        <is>
          <t>A 39867-2021</t>
        </is>
      </c>
      <c r="B3432" s="1" t="n">
        <v>44417</v>
      </c>
      <c r="C3432" s="1" t="n">
        <v>45211</v>
      </c>
      <c r="D3432" t="inlineStr">
        <is>
          <t>ÖSTERGÖTLANDS LÄN</t>
        </is>
      </c>
      <c r="E3432" t="inlineStr">
        <is>
          <t>VALDEMARSVIK</t>
        </is>
      </c>
      <c r="G3432" t="n">
        <v>1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s="2" t="inlineStr"/>
    </row>
    <row r="3433" ht="15" customHeight="1">
      <c r="A3433" t="inlineStr">
        <is>
          <t>A 39640-2021</t>
        </is>
      </c>
      <c r="B3433" s="1" t="n">
        <v>44417</v>
      </c>
      <c r="C3433" s="1" t="n">
        <v>45211</v>
      </c>
      <c r="D3433" t="inlineStr">
        <is>
          <t>ÖSTERGÖTLANDS LÄN</t>
        </is>
      </c>
      <c r="E3433" t="inlineStr">
        <is>
          <t>ÖDESHÖG</t>
        </is>
      </c>
      <c r="F3433" t="inlineStr">
        <is>
          <t>Allmännings- och besparingsskogar</t>
        </is>
      </c>
      <c r="G3433" t="n">
        <v>1.7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s="2" t="inlineStr"/>
    </row>
    <row r="3434" ht="15" customHeight="1">
      <c r="A3434" t="inlineStr">
        <is>
          <t>A 39776-2021</t>
        </is>
      </c>
      <c r="B3434" s="1" t="n">
        <v>44417</v>
      </c>
      <c r="C3434" s="1" t="n">
        <v>45211</v>
      </c>
      <c r="D3434" t="inlineStr">
        <is>
          <t>ÖSTERGÖTLANDS LÄN</t>
        </is>
      </c>
      <c r="E3434" t="inlineStr">
        <is>
          <t>ÅTVIDABERG</t>
        </is>
      </c>
      <c r="G3434" t="n">
        <v>6.2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s="2" t="inlineStr"/>
    </row>
    <row r="3435" ht="15" customHeight="1">
      <c r="A3435" t="inlineStr">
        <is>
          <t>A 39957-2021</t>
        </is>
      </c>
      <c r="B3435" s="1" t="n">
        <v>44417</v>
      </c>
      <c r="C3435" s="1" t="n">
        <v>45211</v>
      </c>
      <c r="D3435" t="inlineStr">
        <is>
          <t>ÖSTERGÖTLANDS LÄN</t>
        </is>
      </c>
      <c r="E3435" t="inlineStr">
        <is>
          <t>VALDEMARSVIK</t>
        </is>
      </c>
      <c r="G3435" t="n">
        <v>0.5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s="2" t="inlineStr"/>
    </row>
    <row r="3436" ht="15" customHeight="1">
      <c r="A3436" t="inlineStr">
        <is>
          <t>A 39965-2021</t>
        </is>
      </c>
      <c r="B3436" s="1" t="n">
        <v>44417</v>
      </c>
      <c r="C3436" s="1" t="n">
        <v>45211</v>
      </c>
      <c r="D3436" t="inlineStr">
        <is>
          <t>ÖSTERGÖTLANDS LÄN</t>
        </is>
      </c>
      <c r="E3436" t="inlineStr">
        <is>
          <t>VALDEMARSVIK</t>
        </is>
      </c>
      <c r="G3436" t="n">
        <v>1.4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s="2" t="inlineStr"/>
    </row>
    <row r="3437" ht="15" customHeight="1">
      <c r="A3437" t="inlineStr">
        <is>
          <t>A 40051-2021</t>
        </is>
      </c>
      <c r="B3437" s="1" t="n">
        <v>44418</v>
      </c>
      <c r="C3437" s="1" t="n">
        <v>45211</v>
      </c>
      <c r="D3437" t="inlineStr">
        <is>
          <t>ÖSTERGÖTLANDS LÄN</t>
        </is>
      </c>
      <c r="E3437" t="inlineStr">
        <is>
          <t>KINDA</t>
        </is>
      </c>
      <c r="G3437" t="n">
        <v>1.2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s="2" t="inlineStr"/>
    </row>
    <row r="3438" ht="15" customHeight="1">
      <c r="A3438" t="inlineStr">
        <is>
          <t>A 40191-2021</t>
        </is>
      </c>
      <c r="B3438" s="1" t="n">
        <v>44418</v>
      </c>
      <c r="C3438" s="1" t="n">
        <v>45211</v>
      </c>
      <c r="D3438" t="inlineStr">
        <is>
          <t>ÖSTERGÖTLANDS LÄN</t>
        </is>
      </c>
      <c r="E3438" t="inlineStr">
        <is>
          <t>MOTALA</t>
        </is>
      </c>
      <c r="G3438" t="n">
        <v>11.2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s="2" t="inlineStr"/>
    </row>
    <row r="3439" ht="15" customHeight="1">
      <c r="A3439" t="inlineStr">
        <is>
          <t>A 40046-2021</t>
        </is>
      </c>
      <c r="B3439" s="1" t="n">
        <v>44418</v>
      </c>
      <c r="C3439" s="1" t="n">
        <v>45211</v>
      </c>
      <c r="D3439" t="inlineStr">
        <is>
          <t>ÖSTERGÖTLANDS LÄN</t>
        </is>
      </c>
      <c r="E3439" t="inlineStr">
        <is>
          <t>ÅTVIDABERG</t>
        </is>
      </c>
      <c r="G3439" t="n">
        <v>4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s="2" t="inlineStr"/>
    </row>
    <row r="3440" ht="15" customHeight="1">
      <c r="A3440" t="inlineStr">
        <is>
          <t>A 40246-2021</t>
        </is>
      </c>
      <c r="B3440" s="1" t="n">
        <v>44419</v>
      </c>
      <c r="C3440" s="1" t="n">
        <v>45211</v>
      </c>
      <c r="D3440" t="inlineStr">
        <is>
          <t>ÖSTERGÖTLANDS LÄN</t>
        </is>
      </c>
      <c r="E3440" t="inlineStr">
        <is>
          <t>KINDA</t>
        </is>
      </c>
      <c r="G3440" t="n">
        <v>0.6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s="2" t="inlineStr"/>
    </row>
    <row r="3441" ht="15" customHeight="1">
      <c r="A3441" t="inlineStr">
        <is>
          <t>A 40437-2021</t>
        </is>
      </c>
      <c r="B3441" s="1" t="n">
        <v>44419</v>
      </c>
      <c r="C3441" s="1" t="n">
        <v>45211</v>
      </c>
      <c r="D3441" t="inlineStr">
        <is>
          <t>ÖSTERGÖTLANDS LÄN</t>
        </is>
      </c>
      <c r="E3441" t="inlineStr">
        <is>
          <t>LINKÖPING</t>
        </is>
      </c>
      <c r="G3441" t="n">
        <v>1.1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s="2" t="inlineStr"/>
    </row>
    <row r="3442" ht="15" customHeight="1">
      <c r="A3442" t="inlineStr">
        <is>
          <t>A 40309-2021</t>
        </is>
      </c>
      <c r="B3442" s="1" t="n">
        <v>44419</v>
      </c>
      <c r="C3442" s="1" t="n">
        <v>45211</v>
      </c>
      <c r="D3442" t="inlineStr">
        <is>
          <t>ÖSTERGÖTLANDS LÄN</t>
        </is>
      </c>
      <c r="E3442" t="inlineStr">
        <is>
          <t>KINDA</t>
        </is>
      </c>
      <c r="G3442" t="n">
        <v>0.5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s="2" t="inlineStr"/>
    </row>
    <row r="3443" ht="15" customHeight="1">
      <c r="A3443" t="inlineStr">
        <is>
          <t>A 40434-2021</t>
        </is>
      </c>
      <c r="B3443" s="1" t="n">
        <v>44419</v>
      </c>
      <c r="C3443" s="1" t="n">
        <v>45211</v>
      </c>
      <c r="D3443" t="inlineStr">
        <is>
          <t>ÖSTERGÖTLANDS LÄN</t>
        </is>
      </c>
      <c r="E3443" t="inlineStr">
        <is>
          <t>VALDEMARSVIK</t>
        </is>
      </c>
      <c r="G3443" t="n">
        <v>2.7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s="2" t="inlineStr"/>
    </row>
    <row r="3444" ht="15" customHeight="1">
      <c r="A3444" t="inlineStr">
        <is>
          <t>A 40219-2021</t>
        </is>
      </c>
      <c r="B3444" s="1" t="n">
        <v>44419</v>
      </c>
      <c r="C3444" s="1" t="n">
        <v>45211</v>
      </c>
      <c r="D3444" t="inlineStr">
        <is>
          <t>ÖSTERGÖTLANDS LÄN</t>
        </is>
      </c>
      <c r="E3444" t="inlineStr">
        <is>
          <t>ÅTVIDABERG</t>
        </is>
      </c>
      <c r="G3444" t="n">
        <v>1.3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s="2" t="inlineStr"/>
    </row>
    <row r="3445" ht="15" customHeight="1">
      <c r="A3445" t="inlineStr">
        <is>
          <t>A 40306-2021</t>
        </is>
      </c>
      <c r="B3445" s="1" t="n">
        <v>44419</v>
      </c>
      <c r="C3445" s="1" t="n">
        <v>45211</v>
      </c>
      <c r="D3445" t="inlineStr">
        <is>
          <t>ÖSTERGÖTLANDS LÄN</t>
        </is>
      </c>
      <c r="E3445" t="inlineStr">
        <is>
          <t>FINSPÅNG</t>
        </is>
      </c>
      <c r="F3445" t="inlineStr">
        <is>
          <t>Holmen skog AB</t>
        </is>
      </c>
      <c r="G3445" t="n">
        <v>1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s="2" t="inlineStr"/>
    </row>
    <row r="3446" ht="15" customHeight="1">
      <c r="A3446" t="inlineStr">
        <is>
          <t>A 40550-2021</t>
        </is>
      </c>
      <c r="B3446" s="1" t="n">
        <v>44420</v>
      </c>
      <c r="C3446" s="1" t="n">
        <v>45211</v>
      </c>
      <c r="D3446" t="inlineStr">
        <is>
          <t>ÖSTERGÖTLANDS LÄN</t>
        </is>
      </c>
      <c r="E3446" t="inlineStr">
        <is>
          <t>FINSPÅNG</t>
        </is>
      </c>
      <c r="G3446" t="n">
        <v>5.2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s="2" t="inlineStr"/>
    </row>
    <row r="3447" ht="15" customHeight="1">
      <c r="A3447" t="inlineStr">
        <is>
          <t>A 40642-2021</t>
        </is>
      </c>
      <c r="B3447" s="1" t="n">
        <v>44420</v>
      </c>
      <c r="C3447" s="1" t="n">
        <v>45211</v>
      </c>
      <c r="D3447" t="inlineStr">
        <is>
          <t>ÖSTERGÖTLANDS LÄN</t>
        </is>
      </c>
      <c r="E3447" t="inlineStr">
        <is>
          <t>SÖDERKÖPING</t>
        </is>
      </c>
      <c r="G3447" t="n">
        <v>0.4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s="2" t="inlineStr"/>
    </row>
    <row r="3448" ht="15" customHeight="1">
      <c r="A3448" t="inlineStr">
        <is>
          <t>A 40506-2021</t>
        </is>
      </c>
      <c r="B3448" s="1" t="n">
        <v>44420</v>
      </c>
      <c r="C3448" s="1" t="n">
        <v>45211</v>
      </c>
      <c r="D3448" t="inlineStr">
        <is>
          <t>ÖSTERGÖTLANDS LÄN</t>
        </is>
      </c>
      <c r="E3448" t="inlineStr">
        <is>
          <t>LINKÖPING</t>
        </is>
      </c>
      <c r="G3448" t="n">
        <v>1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s="2" t="inlineStr"/>
    </row>
    <row r="3449" ht="15" customHeight="1">
      <c r="A3449" t="inlineStr">
        <is>
          <t>A 40544-2021</t>
        </is>
      </c>
      <c r="B3449" s="1" t="n">
        <v>44420</v>
      </c>
      <c r="C3449" s="1" t="n">
        <v>45211</v>
      </c>
      <c r="D3449" t="inlineStr">
        <is>
          <t>ÖSTERGÖTLANDS LÄN</t>
        </is>
      </c>
      <c r="E3449" t="inlineStr">
        <is>
          <t>FINSPÅNG</t>
        </is>
      </c>
      <c r="G3449" t="n">
        <v>5.2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s="2" t="inlineStr"/>
    </row>
    <row r="3450" ht="15" customHeight="1">
      <c r="A3450" t="inlineStr">
        <is>
          <t>A 40635-2021</t>
        </is>
      </c>
      <c r="B3450" s="1" t="n">
        <v>44420</v>
      </c>
      <c r="C3450" s="1" t="n">
        <v>45211</v>
      </c>
      <c r="D3450" t="inlineStr">
        <is>
          <t>ÖSTERGÖTLANDS LÄN</t>
        </is>
      </c>
      <c r="E3450" t="inlineStr">
        <is>
          <t>LINKÖPING</t>
        </is>
      </c>
      <c r="G3450" t="n">
        <v>2.7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s="2" t="inlineStr"/>
    </row>
    <row r="3451" ht="15" customHeight="1">
      <c r="A3451" t="inlineStr">
        <is>
          <t>A 40563-2021</t>
        </is>
      </c>
      <c r="B3451" s="1" t="n">
        <v>44420</v>
      </c>
      <c r="C3451" s="1" t="n">
        <v>45211</v>
      </c>
      <c r="D3451" t="inlineStr">
        <is>
          <t>ÖSTERGÖTLANDS LÄN</t>
        </is>
      </c>
      <c r="E3451" t="inlineStr">
        <is>
          <t>ÅTVIDABERG</t>
        </is>
      </c>
      <c r="G3451" t="n">
        <v>4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s="2" t="inlineStr"/>
    </row>
    <row r="3452" ht="15" customHeight="1">
      <c r="A3452" t="inlineStr">
        <is>
          <t>A 40815-2021</t>
        </is>
      </c>
      <c r="B3452" s="1" t="n">
        <v>44421</v>
      </c>
      <c r="C3452" s="1" t="n">
        <v>45211</v>
      </c>
      <c r="D3452" t="inlineStr">
        <is>
          <t>ÖSTERGÖTLANDS LÄN</t>
        </is>
      </c>
      <c r="E3452" t="inlineStr">
        <is>
          <t>MOTALA</t>
        </is>
      </c>
      <c r="G3452" t="n">
        <v>3.3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s="2" t="inlineStr"/>
    </row>
    <row r="3453" ht="15" customHeight="1">
      <c r="A3453" t="inlineStr">
        <is>
          <t>A 40948-2021</t>
        </is>
      </c>
      <c r="B3453" s="1" t="n">
        <v>44421</v>
      </c>
      <c r="C3453" s="1" t="n">
        <v>45211</v>
      </c>
      <c r="D3453" t="inlineStr">
        <is>
          <t>ÖSTERGÖTLANDS LÄN</t>
        </is>
      </c>
      <c r="E3453" t="inlineStr">
        <is>
          <t>MOTALA</t>
        </is>
      </c>
      <c r="G3453" t="n">
        <v>3.9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s="2" t="inlineStr"/>
    </row>
    <row r="3454" ht="15" customHeight="1">
      <c r="A3454" t="inlineStr">
        <is>
          <t>A 41440-2021</t>
        </is>
      </c>
      <c r="B3454" s="1" t="n">
        <v>44424</v>
      </c>
      <c r="C3454" s="1" t="n">
        <v>45211</v>
      </c>
      <c r="D3454" t="inlineStr">
        <is>
          <t>ÖSTERGÖTLANDS LÄN</t>
        </is>
      </c>
      <c r="E3454" t="inlineStr">
        <is>
          <t>ÅTVIDABERG</t>
        </is>
      </c>
      <c r="G3454" t="n">
        <v>1.8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s="2" t="inlineStr"/>
    </row>
    <row r="3455" ht="15" customHeight="1">
      <c r="A3455" t="inlineStr">
        <is>
          <t>A 41300-2021</t>
        </is>
      </c>
      <c r="B3455" s="1" t="n">
        <v>44424</v>
      </c>
      <c r="C3455" s="1" t="n">
        <v>45211</v>
      </c>
      <c r="D3455" t="inlineStr">
        <is>
          <t>ÖSTERGÖTLANDS LÄN</t>
        </is>
      </c>
      <c r="E3455" t="inlineStr">
        <is>
          <t>SÖDERKÖPING</t>
        </is>
      </c>
      <c r="G3455" t="n">
        <v>6.5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s="2" t="inlineStr"/>
    </row>
    <row r="3456" ht="15" customHeight="1">
      <c r="A3456" t="inlineStr">
        <is>
          <t>A 41432-2021</t>
        </is>
      </c>
      <c r="B3456" s="1" t="n">
        <v>44424</v>
      </c>
      <c r="C3456" s="1" t="n">
        <v>45211</v>
      </c>
      <c r="D3456" t="inlineStr">
        <is>
          <t>ÖSTERGÖTLANDS LÄN</t>
        </is>
      </c>
      <c r="E3456" t="inlineStr">
        <is>
          <t>MOTALA</t>
        </is>
      </c>
      <c r="G3456" t="n">
        <v>4.8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s="2" t="inlineStr"/>
    </row>
    <row r="3457" ht="15" customHeight="1">
      <c r="A3457" t="inlineStr">
        <is>
          <t>A 41319-2021</t>
        </is>
      </c>
      <c r="B3457" s="1" t="n">
        <v>44424</v>
      </c>
      <c r="C3457" s="1" t="n">
        <v>45211</v>
      </c>
      <c r="D3457" t="inlineStr">
        <is>
          <t>ÖSTERGÖTLANDS LÄN</t>
        </is>
      </c>
      <c r="E3457" t="inlineStr">
        <is>
          <t>SÖDERKÖPING</t>
        </is>
      </c>
      <c r="G3457" t="n">
        <v>6.3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s="2" t="inlineStr"/>
    </row>
    <row r="3458" ht="15" customHeight="1">
      <c r="A3458" t="inlineStr">
        <is>
          <t>A 41397-2021</t>
        </is>
      </c>
      <c r="B3458" s="1" t="n">
        <v>44424</v>
      </c>
      <c r="C3458" s="1" t="n">
        <v>45211</v>
      </c>
      <c r="D3458" t="inlineStr">
        <is>
          <t>ÖSTERGÖTLANDS LÄN</t>
        </is>
      </c>
      <c r="E3458" t="inlineStr">
        <is>
          <t>FINSPÅNG</t>
        </is>
      </c>
      <c r="G3458" t="n">
        <v>3.7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s="2" t="inlineStr"/>
    </row>
    <row r="3459" ht="15" customHeight="1">
      <c r="A3459" t="inlineStr">
        <is>
          <t>A 41510-2021</t>
        </is>
      </c>
      <c r="B3459" s="1" t="n">
        <v>44424</v>
      </c>
      <c r="C3459" s="1" t="n">
        <v>45211</v>
      </c>
      <c r="D3459" t="inlineStr">
        <is>
          <t>ÖSTERGÖTLANDS LÄN</t>
        </is>
      </c>
      <c r="E3459" t="inlineStr">
        <is>
          <t>FINSPÅNG</t>
        </is>
      </c>
      <c r="G3459" t="n">
        <v>9.6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s="2" t="inlineStr"/>
    </row>
    <row r="3460" ht="15" customHeight="1">
      <c r="A3460" t="inlineStr">
        <is>
          <t>A 41644-2021</t>
        </is>
      </c>
      <c r="B3460" s="1" t="n">
        <v>44425</v>
      </c>
      <c r="C3460" s="1" t="n">
        <v>45211</v>
      </c>
      <c r="D3460" t="inlineStr">
        <is>
          <t>ÖSTERGÖTLANDS LÄN</t>
        </is>
      </c>
      <c r="E3460" t="inlineStr">
        <is>
          <t>MOTALA</t>
        </is>
      </c>
      <c r="G3460" t="n">
        <v>1.4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s="2" t="inlineStr"/>
    </row>
    <row r="3461" ht="15" customHeight="1">
      <c r="A3461" t="inlineStr">
        <is>
          <t>A 41792-2021</t>
        </is>
      </c>
      <c r="B3461" s="1" t="n">
        <v>44425</v>
      </c>
      <c r="C3461" s="1" t="n">
        <v>45211</v>
      </c>
      <c r="D3461" t="inlineStr">
        <is>
          <t>ÖSTERGÖTLANDS LÄN</t>
        </is>
      </c>
      <c r="E3461" t="inlineStr">
        <is>
          <t>KINDA</t>
        </is>
      </c>
      <c r="G3461" t="n">
        <v>8.1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s="2" t="inlineStr"/>
    </row>
    <row r="3462" ht="15" customHeight="1">
      <c r="A3462" t="inlineStr">
        <is>
          <t>A 41924-2021</t>
        </is>
      </c>
      <c r="B3462" s="1" t="n">
        <v>44425</v>
      </c>
      <c r="C3462" s="1" t="n">
        <v>45211</v>
      </c>
      <c r="D3462" t="inlineStr">
        <is>
          <t>ÖSTERGÖTLANDS LÄN</t>
        </is>
      </c>
      <c r="E3462" t="inlineStr">
        <is>
          <t>FINSPÅNG</t>
        </is>
      </c>
      <c r="G3462" t="n">
        <v>1.4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s="2" t="inlineStr"/>
    </row>
    <row r="3463" ht="15" customHeight="1">
      <c r="A3463" t="inlineStr">
        <is>
          <t>A 41772-2021</t>
        </is>
      </c>
      <c r="B3463" s="1" t="n">
        <v>44425</v>
      </c>
      <c r="C3463" s="1" t="n">
        <v>45211</v>
      </c>
      <c r="D3463" t="inlineStr">
        <is>
          <t>ÖSTERGÖTLANDS LÄN</t>
        </is>
      </c>
      <c r="E3463" t="inlineStr">
        <is>
          <t>KINDA</t>
        </is>
      </c>
      <c r="G3463" t="n">
        <v>2.7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s="2" t="inlineStr"/>
    </row>
    <row r="3464" ht="15" customHeight="1">
      <c r="A3464" t="inlineStr">
        <is>
          <t>A 41932-2021</t>
        </is>
      </c>
      <c r="B3464" s="1" t="n">
        <v>44425</v>
      </c>
      <c r="C3464" s="1" t="n">
        <v>45211</v>
      </c>
      <c r="D3464" t="inlineStr">
        <is>
          <t>ÖSTERGÖTLANDS LÄN</t>
        </is>
      </c>
      <c r="E3464" t="inlineStr">
        <is>
          <t>FINSPÅNG</t>
        </is>
      </c>
      <c r="G3464" t="n">
        <v>1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s="2" t="inlineStr"/>
    </row>
    <row r="3465" ht="15" customHeight="1">
      <c r="A3465" t="inlineStr">
        <is>
          <t>A 41742-2021</t>
        </is>
      </c>
      <c r="B3465" s="1" t="n">
        <v>44425</v>
      </c>
      <c r="C3465" s="1" t="n">
        <v>45211</v>
      </c>
      <c r="D3465" t="inlineStr">
        <is>
          <t>ÖSTERGÖTLANDS LÄN</t>
        </is>
      </c>
      <c r="E3465" t="inlineStr">
        <is>
          <t>FINSPÅNG</t>
        </is>
      </c>
      <c r="G3465" t="n">
        <v>6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s="2" t="inlineStr"/>
    </row>
    <row r="3466" ht="15" customHeight="1">
      <c r="A3466" t="inlineStr">
        <is>
          <t>A 41768-2021</t>
        </is>
      </c>
      <c r="B3466" s="1" t="n">
        <v>44425</v>
      </c>
      <c r="C3466" s="1" t="n">
        <v>45211</v>
      </c>
      <c r="D3466" t="inlineStr">
        <is>
          <t>ÖSTERGÖTLANDS LÄN</t>
        </is>
      </c>
      <c r="E3466" t="inlineStr">
        <is>
          <t>KINDA</t>
        </is>
      </c>
      <c r="G3466" t="n">
        <v>2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s="2" t="inlineStr"/>
    </row>
    <row r="3467" ht="15" customHeight="1">
      <c r="A3467" t="inlineStr">
        <is>
          <t>A 42116-2021</t>
        </is>
      </c>
      <c r="B3467" s="1" t="n">
        <v>44426</v>
      </c>
      <c r="C3467" s="1" t="n">
        <v>45211</v>
      </c>
      <c r="D3467" t="inlineStr">
        <is>
          <t>ÖSTERGÖTLANDS LÄN</t>
        </is>
      </c>
      <c r="E3467" t="inlineStr">
        <is>
          <t>FINSPÅNG</t>
        </is>
      </c>
      <c r="F3467" t="inlineStr">
        <is>
          <t>Holmen skog AB</t>
        </is>
      </c>
      <c r="G3467" t="n">
        <v>0.6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s="2" t="inlineStr"/>
    </row>
    <row r="3468" ht="15" customHeight="1">
      <c r="A3468" t="inlineStr">
        <is>
          <t>A 42311-2021</t>
        </is>
      </c>
      <c r="B3468" s="1" t="n">
        <v>44427</v>
      </c>
      <c r="C3468" s="1" t="n">
        <v>45211</v>
      </c>
      <c r="D3468" t="inlineStr">
        <is>
          <t>ÖSTERGÖTLANDS LÄN</t>
        </is>
      </c>
      <c r="E3468" t="inlineStr">
        <is>
          <t>MOTALA</t>
        </is>
      </c>
      <c r="G3468" t="n">
        <v>6.5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s="2" t="inlineStr"/>
    </row>
    <row r="3469" ht="15" customHeight="1">
      <c r="A3469" t="inlineStr">
        <is>
          <t>A 42665-2021</t>
        </is>
      </c>
      <c r="B3469" s="1" t="n">
        <v>44428</v>
      </c>
      <c r="C3469" s="1" t="n">
        <v>45211</v>
      </c>
      <c r="D3469" t="inlineStr">
        <is>
          <t>ÖSTERGÖTLANDS LÄN</t>
        </is>
      </c>
      <c r="E3469" t="inlineStr">
        <is>
          <t>LINKÖPING</t>
        </is>
      </c>
      <c r="G3469" t="n">
        <v>0.8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s="2" t="inlineStr"/>
    </row>
    <row r="3470" ht="15" customHeight="1">
      <c r="A3470" t="inlineStr">
        <is>
          <t>A 42682-2021</t>
        </is>
      </c>
      <c r="B3470" s="1" t="n">
        <v>44428</v>
      </c>
      <c r="C3470" s="1" t="n">
        <v>45211</v>
      </c>
      <c r="D3470" t="inlineStr">
        <is>
          <t>ÖSTERGÖTLANDS LÄN</t>
        </is>
      </c>
      <c r="E3470" t="inlineStr">
        <is>
          <t>FINSPÅNG</t>
        </is>
      </c>
      <c r="G3470" t="n">
        <v>1.6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s="2" t="inlineStr"/>
    </row>
    <row r="3471" ht="15" customHeight="1">
      <c r="A3471" t="inlineStr">
        <is>
          <t>A 42595-2021</t>
        </is>
      </c>
      <c r="B3471" s="1" t="n">
        <v>44428</v>
      </c>
      <c r="C3471" s="1" t="n">
        <v>45211</v>
      </c>
      <c r="D3471" t="inlineStr">
        <is>
          <t>ÖSTERGÖTLANDS LÄN</t>
        </is>
      </c>
      <c r="E3471" t="inlineStr">
        <is>
          <t>YDRE</t>
        </is>
      </c>
      <c r="F3471" t="inlineStr">
        <is>
          <t>Övriga Aktiebolag</t>
        </is>
      </c>
      <c r="G3471" t="n">
        <v>4.8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s="2" t="inlineStr"/>
    </row>
    <row r="3472" ht="15" customHeight="1">
      <c r="A3472" t="inlineStr">
        <is>
          <t>A 43166-2021</t>
        </is>
      </c>
      <c r="B3472" s="1" t="n">
        <v>44431</v>
      </c>
      <c r="C3472" s="1" t="n">
        <v>45211</v>
      </c>
      <c r="D3472" t="inlineStr">
        <is>
          <t>ÖSTERGÖTLANDS LÄN</t>
        </is>
      </c>
      <c r="E3472" t="inlineStr">
        <is>
          <t>FINSPÅNG</t>
        </is>
      </c>
      <c r="G3472" t="n">
        <v>6.3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s="2" t="inlineStr"/>
    </row>
    <row r="3473" ht="15" customHeight="1">
      <c r="A3473" t="inlineStr">
        <is>
          <t>A 42974-2021</t>
        </is>
      </c>
      <c r="B3473" s="1" t="n">
        <v>44431</v>
      </c>
      <c r="C3473" s="1" t="n">
        <v>45211</v>
      </c>
      <c r="D3473" t="inlineStr">
        <is>
          <t>ÖSTERGÖTLANDS LÄN</t>
        </is>
      </c>
      <c r="E3473" t="inlineStr">
        <is>
          <t>MOTALA</t>
        </is>
      </c>
      <c r="G3473" t="n">
        <v>1.7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s="2" t="inlineStr"/>
    </row>
    <row r="3474" ht="15" customHeight="1">
      <c r="A3474" t="inlineStr">
        <is>
          <t>A 43167-2021</t>
        </is>
      </c>
      <c r="B3474" s="1" t="n">
        <v>44431</v>
      </c>
      <c r="C3474" s="1" t="n">
        <v>45211</v>
      </c>
      <c r="D3474" t="inlineStr">
        <is>
          <t>ÖSTERGÖTLANDS LÄN</t>
        </is>
      </c>
      <c r="E3474" t="inlineStr">
        <is>
          <t>FINSPÅNG</t>
        </is>
      </c>
      <c r="G3474" t="n">
        <v>6.9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s="2" t="inlineStr"/>
    </row>
    <row r="3475" ht="15" customHeight="1">
      <c r="A3475" t="inlineStr">
        <is>
          <t>A 43017-2021</t>
        </is>
      </c>
      <c r="B3475" s="1" t="n">
        <v>44431</v>
      </c>
      <c r="C3475" s="1" t="n">
        <v>45211</v>
      </c>
      <c r="D3475" t="inlineStr">
        <is>
          <t>ÖSTERGÖTLANDS LÄN</t>
        </is>
      </c>
      <c r="E3475" t="inlineStr">
        <is>
          <t>LINKÖPING</t>
        </is>
      </c>
      <c r="G3475" t="n">
        <v>0.9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s="2" t="inlineStr"/>
    </row>
    <row r="3476" ht="15" customHeight="1">
      <c r="A3476" t="inlineStr">
        <is>
          <t>A 43096-2021</t>
        </is>
      </c>
      <c r="B3476" s="1" t="n">
        <v>44431</v>
      </c>
      <c r="C3476" s="1" t="n">
        <v>45211</v>
      </c>
      <c r="D3476" t="inlineStr">
        <is>
          <t>ÖSTERGÖTLANDS LÄN</t>
        </is>
      </c>
      <c r="E3476" t="inlineStr">
        <is>
          <t>MJÖLBY</t>
        </is>
      </c>
      <c r="G3476" t="n">
        <v>5.9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s="2" t="inlineStr"/>
    </row>
    <row r="3477" ht="15" customHeight="1">
      <c r="A3477" t="inlineStr">
        <is>
          <t>A 43165-2021</t>
        </is>
      </c>
      <c r="B3477" s="1" t="n">
        <v>44431</v>
      </c>
      <c r="C3477" s="1" t="n">
        <v>45211</v>
      </c>
      <c r="D3477" t="inlineStr">
        <is>
          <t>ÖSTERGÖTLANDS LÄN</t>
        </is>
      </c>
      <c r="E3477" t="inlineStr">
        <is>
          <t>FINSPÅNG</t>
        </is>
      </c>
      <c r="G3477" t="n">
        <v>6.7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s="2" t="inlineStr"/>
    </row>
    <row r="3478" ht="15" customHeight="1">
      <c r="A3478" t="inlineStr">
        <is>
          <t>A 43164-2021</t>
        </is>
      </c>
      <c r="B3478" s="1" t="n">
        <v>44431</v>
      </c>
      <c r="C3478" s="1" t="n">
        <v>45211</v>
      </c>
      <c r="D3478" t="inlineStr">
        <is>
          <t>ÖSTERGÖTLANDS LÄN</t>
        </is>
      </c>
      <c r="E3478" t="inlineStr">
        <is>
          <t>FINSPÅNG</t>
        </is>
      </c>
      <c r="G3478" t="n">
        <v>3.1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s="2" t="inlineStr"/>
    </row>
    <row r="3479" ht="15" customHeight="1">
      <c r="A3479" t="inlineStr">
        <is>
          <t>A 43459-2021</t>
        </is>
      </c>
      <c r="B3479" s="1" t="n">
        <v>44432</v>
      </c>
      <c r="C3479" s="1" t="n">
        <v>45211</v>
      </c>
      <c r="D3479" t="inlineStr">
        <is>
          <t>ÖSTERGÖTLANDS LÄN</t>
        </is>
      </c>
      <c r="E3479" t="inlineStr">
        <is>
          <t>NORRKÖPING</t>
        </is>
      </c>
      <c r="F3479" t="inlineStr">
        <is>
          <t>Holmen skog AB</t>
        </is>
      </c>
      <c r="G3479" t="n">
        <v>1.2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s="2" t="inlineStr"/>
    </row>
    <row r="3480" ht="15" customHeight="1">
      <c r="A3480" t="inlineStr">
        <is>
          <t>A 43270-2021</t>
        </is>
      </c>
      <c r="B3480" s="1" t="n">
        <v>44432</v>
      </c>
      <c r="C3480" s="1" t="n">
        <v>45211</v>
      </c>
      <c r="D3480" t="inlineStr">
        <is>
          <t>ÖSTERGÖTLANDS LÄN</t>
        </is>
      </c>
      <c r="E3480" t="inlineStr">
        <is>
          <t>NORRKÖPING</t>
        </is>
      </c>
      <c r="G3480" t="n">
        <v>1.8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s="2" t="inlineStr"/>
    </row>
    <row r="3481" ht="15" customHeight="1">
      <c r="A3481" t="inlineStr">
        <is>
          <t>A 43502-2021</t>
        </is>
      </c>
      <c r="B3481" s="1" t="n">
        <v>44433</v>
      </c>
      <c r="C3481" s="1" t="n">
        <v>45211</v>
      </c>
      <c r="D3481" t="inlineStr">
        <is>
          <t>ÖSTERGÖTLANDS LÄN</t>
        </is>
      </c>
      <c r="E3481" t="inlineStr">
        <is>
          <t>NORRKÖPING</t>
        </is>
      </c>
      <c r="G3481" t="n">
        <v>2.3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s="2" t="inlineStr"/>
    </row>
    <row r="3482" ht="15" customHeight="1">
      <c r="A3482" t="inlineStr">
        <is>
          <t>A 43510-2021</t>
        </is>
      </c>
      <c r="B3482" s="1" t="n">
        <v>44433</v>
      </c>
      <c r="C3482" s="1" t="n">
        <v>45211</v>
      </c>
      <c r="D3482" t="inlineStr">
        <is>
          <t>ÖSTERGÖTLANDS LÄN</t>
        </is>
      </c>
      <c r="E3482" t="inlineStr">
        <is>
          <t>ÅTVIDABERG</t>
        </is>
      </c>
      <c r="G3482" t="n">
        <v>1.9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s="2" t="inlineStr"/>
    </row>
    <row r="3483" ht="15" customHeight="1">
      <c r="A3483" t="inlineStr">
        <is>
          <t>A 43744-2021</t>
        </is>
      </c>
      <c r="B3483" s="1" t="n">
        <v>44433</v>
      </c>
      <c r="C3483" s="1" t="n">
        <v>45211</v>
      </c>
      <c r="D3483" t="inlineStr">
        <is>
          <t>ÖSTERGÖTLANDS LÄN</t>
        </is>
      </c>
      <c r="E3483" t="inlineStr">
        <is>
          <t>FINSPÅNG</t>
        </is>
      </c>
      <c r="G3483" t="n">
        <v>1.5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s="2" t="inlineStr"/>
    </row>
    <row r="3484" ht="15" customHeight="1">
      <c r="A3484" t="inlineStr">
        <is>
          <t>A 43504-2021</t>
        </is>
      </c>
      <c r="B3484" s="1" t="n">
        <v>44433</v>
      </c>
      <c r="C3484" s="1" t="n">
        <v>45211</v>
      </c>
      <c r="D3484" t="inlineStr">
        <is>
          <t>ÖSTERGÖTLANDS LÄN</t>
        </is>
      </c>
      <c r="E3484" t="inlineStr">
        <is>
          <t>LINKÖPING</t>
        </is>
      </c>
      <c r="G3484" t="n">
        <v>2.3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s="2" t="inlineStr"/>
    </row>
    <row r="3485" ht="15" customHeight="1">
      <c r="A3485" t="inlineStr">
        <is>
          <t>A 43627-2021</t>
        </is>
      </c>
      <c r="B3485" s="1" t="n">
        <v>44433</v>
      </c>
      <c r="C3485" s="1" t="n">
        <v>45211</v>
      </c>
      <c r="D3485" t="inlineStr">
        <is>
          <t>ÖSTERGÖTLANDS LÄN</t>
        </is>
      </c>
      <c r="E3485" t="inlineStr">
        <is>
          <t>LINKÖPING</t>
        </is>
      </c>
      <c r="G3485" t="n">
        <v>2.1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s="2" t="inlineStr"/>
    </row>
    <row r="3486" ht="15" customHeight="1">
      <c r="A3486" t="inlineStr">
        <is>
          <t>A 43695-2021</t>
        </is>
      </c>
      <c r="B3486" s="1" t="n">
        <v>44433</v>
      </c>
      <c r="C3486" s="1" t="n">
        <v>45211</v>
      </c>
      <c r="D3486" t="inlineStr">
        <is>
          <t>ÖSTERGÖTLANDS LÄN</t>
        </is>
      </c>
      <c r="E3486" t="inlineStr">
        <is>
          <t>MOTALA</t>
        </is>
      </c>
      <c r="G3486" t="n">
        <v>2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s="2" t="inlineStr"/>
    </row>
    <row r="3487" ht="15" customHeight="1">
      <c r="A3487" t="inlineStr">
        <is>
          <t>A 43773-2021</t>
        </is>
      </c>
      <c r="B3487" s="1" t="n">
        <v>44433</v>
      </c>
      <c r="C3487" s="1" t="n">
        <v>45211</v>
      </c>
      <c r="D3487" t="inlineStr">
        <is>
          <t>ÖSTERGÖTLANDS LÄN</t>
        </is>
      </c>
      <c r="E3487" t="inlineStr">
        <is>
          <t>NORRKÖPING</t>
        </is>
      </c>
      <c r="F3487" t="inlineStr">
        <is>
          <t>Holmen skog AB</t>
        </is>
      </c>
      <c r="G3487" t="n">
        <v>2.5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s="2" t="inlineStr"/>
    </row>
    <row r="3488" ht="15" customHeight="1">
      <c r="A3488" t="inlineStr">
        <is>
          <t>A 43508-2021</t>
        </is>
      </c>
      <c r="B3488" s="1" t="n">
        <v>44433</v>
      </c>
      <c r="C3488" s="1" t="n">
        <v>45211</v>
      </c>
      <c r="D3488" t="inlineStr">
        <is>
          <t>ÖSTERGÖTLANDS LÄN</t>
        </is>
      </c>
      <c r="E3488" t="inlineStr">
        <is>
          <t>KINDA</t>
        </is>
      </c>
      <c r="G3488" t="n">
        <v>1.6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s="2" t="inlineStr"/>
    </row>
    <row r="3489" ht="15" customHeight="1">
      <c r="A3489" t="inlineStr">
        <is>
          <t>A 43628-2021</t>
        </is>
      </c>
      <c r="B3489" s="1" t="n">
        <v>44433</v>
      </c>
      <c r="C3489" s="1" t="n">
        <v>45211</v>
      </c>
      <c r="D3489" t="inlineStr">
        <is>
          <t>ÖSTERGÖTLANDS LÄN</t>
        </is>
      </c>
      <c r="E3489" t="inlineStr">
        <is>
          <t>KINDA</t>
        </is>
      </c>
      <c r="G3489" t="n">
        <v>13.6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s="2" t="inlineStr"/>
    </row>
    <row r="3490" ht="15" customHeight="1">
      <c r="A3490" t="inlineStr">
        <is>
          <t>A 43559-2021</t>
        </is>
      </c>
      <c r="B3490" s="1" t="n">
        <v>44433</v>
      </c>
      <c r="C3490" s="1" t="n">
        <v>45211</v>
      </c>
      <c r="D3490" t="inlineStr">
        <is>
          <t>ÖSTERGÖTLANDS LÄN</t>
        </is>
      </c>
      <c r="E3490" t="inlineStr">
        <is>
          <t>NORRKÖPING</t>
        </is>
      </c>
      <c r="G3490" t="n">
        <v>11.1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s="2" t="inlineStr"/>
    </row>
    <row r="3491" ht="15" customHeight="1">
      <c r="A3491" t="inlineStr">
        <is>
          <t>A 43905-2021</t>
        </is>
      </c>
      <c r="B3491" s="1" t="n">
        <v>44434</v>
      </c>
      <c r="C3491" s="1" t="n">
        <v>45211</v>
      </c>
      <c r="D3491" t="inlineStr">
        <is>
          <t>ÖSTERGÖTLANDS LÄN</t>
        </is>
      </c>
      <c r="E3491" t="inlineStr">
        <is>
          <t>MOTALA</t>
        </is>
      </c>
      <c r="G3491" t="n">
        <v>1.1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s="2" t="inlineStr"/>
    </row>
    <row r="3492" ht="15" customHeight="1">
      <c r="A3492" t="inlineStr">
        <is>
          <t>A 44060-2021</t>
        </is>
      </c>
      <c r="B3492" s="1" t="n">
        <v>44434</v>
      </c>
      <c r="C3492" s="1" t="n">
        <v>45211</v>
      </c>
      <c r="D3492" t="inlineStr">
        <is>
          <t>ÖSTERGÖTLANDS LÄN</t>
        </is>
      </c>
      <c r="E3492" t="inlineStr">
        <is>
          <t>VALDEMARSVIK</t>
        </is>
      </c>
      <c r="G3492" t="n">
        <v>0.9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s="2" t="inlineStr"/>
    </row>
    <row r="3493" ht="15" customHeight="1">
      <c r="A3493" t="inlineStr">
        <is>
          <t>A 44083-2021</t>
        </is>
      </c>
      <c r="B3493" s="1" t="n">
        <v>44434</v>
      </c>
      <c r="C3493" s="1" t="n">
        <v>45211</v>
      </c>
      <c r="D3493" t="inlineStr">
        <is>
          <t>ÖSTERGÖTLANDS LÄN</t>
        </is>
      </c>
      <c r="E3493" t="inlineStr">
        <is>
          <t>ÅTVIDABERG</t>
        </is>
      </c>
      <c r="G3493" t="n">
        <v>4.2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s="2" t="inlineStr"/>
    </row>
    <row r="3494" ht="15" customHeight="1">
      <c r="A3494" t="inlineStr">
        <is>
          <t>A 43908-2021</t>
        </is>
      </c>
      <c r="B3494" s="1" t="n">
        <v>44434</v>
      </c>
      <c r="C3494" s="1" t="n">
        <v>45211</v>
      </c>
      <c r="D3494" t="inlineStr">
        <is>
          <t>ÖSTERGÖTLANDS LÄN</t>
        </is>
      </c>
      <c r="E3494" t="inlineStr">
        <is>
          <t>FINSPÅNG</t>
        </is>
      </c>
      <c r="F3494" t="inlineStr">
        <is>
          <t>Kyrkan</t>
        </is>
      </c>
      <c r="G3494" t="n">
        <v>1.4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s="2" t="inlineStr"/>
    </row>
    <row r="3495" ht="15" customHeight="1">
      <c r="A3495" t="inlineStr">
        <is>
          <t>A 43858-2021</t>
        </is>
      </c>
      <c r="B3495" s="1" t="n">
        <v>44434</v>
      </c>
      <c r="C3495" s="1" t="n">
        <v>45211</v>
      </c>
      <c r="D3495" t="inlineStr">
        <is>
          <t>ÖSTERGÖTLANDS LÄN</t>
        </is>
      </c>
      <c r="E3495" t="inlineStr">
        <is>
          <t>FINSPÅNG</t>
        </is>
      </c>
      <c r="F3495" t="inlineStr">
        <is>
          <t>Övriga Aktiebolag</t>
        </is>
      </c>
      <c r="G3495" t="n">
        <v>12.2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s="2" t="inlineStr"/>
    </row>
    <row r="3496" ht="15" customHeight="1">
      <c r="A3496" t="inlineStr">
        <is>
          <t>A 44203-2021</t>
        </is>
      </c>
      <c r="B3496" s="1" t="n">
        <v>44434</v>
      </c>
      <c r="C3496" s="1" t="n">
        <v>45211</v>
      </c>
      <c r="D3496" t="inlineStr">
        <is>
          <t>ÖSTERGÖTLANDS LÄN</t>
        </is>
      </c>
      <c r="E3496" t="inlineStr">
        <is>
          <t>KINDA</t>
        </is>
      </c>
      <c r="F3496" t="inlineStr">
        <is>
          <t>Allmännings- och besparingsskogar</t>
        </is>
      </c>
      <c r="G3496" t="n">
        <v>12.7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s="2" t="inlineStr"/>
    </row>
    <row r="3497" ht="15" customHeight="1">
      <c r="A3497" t="inlineStr">
        <is>
          <t>A 44054-2021</t>
        </is>
      </c>
      <c r="B3497" s="1" t="n">
        <v>44434</v>
      </c>
      <c r="C3497" s="1" t="n">
        <v>45211</v>
      </c>
      <c r="D3497" t="inlineStr">
        <is>
          <t>ÖSTERGÖTLANDS LÄN</t>
        </is>
      </c>
      <c r="E3497" t="inlineStr">
        <is>
          <t>LINKÖPING</t>
        </is>
      </c>
      <c r="F3497" t="inlineStr">
        <is>
          <t>Övriga Aktiebolag</t>
        </is>
      </c>
      <c r="G3497" t="n">
        <v>2.3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s="2" t="inlineStr"/>
    </row>
    <row r="3498" ht="15" customHeight="1">
      <c r="A3498" t="inlineStr">
        <is>
          <t>A 44109-2021</t>
        </is>
      </c>
      <c r="B3498" s="1" t="n">
        <v>44434</v>
      </c>
      <c r="C3498" s="1" t="n">
        <v>45211</v>
      </c>
      <c r="D3498" t="inlineStr">
        <is>
          <t>ÖSTERGÖTLANDS LÄN</t>
        </is>
      </c>
      <c r="E3498" t="inlineStr">
        <is>
          <t>FINSPÅNG</t>
        </is>
      </c>
      <c r="G3498" t="n">
        <v>0.7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s="2" t="inlineStr"/>
    </row>
    <row r="3499" ht="15" customHeight="1">
      <c r="A3499" t="inlineStr">
        <is>
          <t>A 44129-2021</t>
        </is>
      </c>
      <c r="B3499" s="1" t="n">
        <v>44434</v>
      </c>
      <c r="C3499" s="1" t="n">
        <v>45211</v>
      </c>
      <c r="D3499" t="inlineStr">
        <is>
          <t>ÖSTERGÖTLANDS LÄN</t>
        </is>
      </c>
      <c r="E3499" t="inlineStr">
        <is>
          <t>ÅTVIDABERG</t>
        </is>
      </c>
      <c r="G3499" t="n">
        <v>0.4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s="2" t="inlineStr"/>
    </row>
    <row r="3500" ht="15" customHeight="1">
      <c r="A3500" t="inlineStr">
        <is>
          <t>A 44611-2021</t>
        </is>
      </c>
      <c r="B3500" s="1" t="n">
        <v>44435</v>
      </c>
      <c r="C3500" s="1" t="n">
        <v>45211</v>
      </c>
      <c r="D3500" t="inlineStr">
        <is>
          <t>ÖSTERGÖTLANDS LÄN</t>
        </is>
      </c>
      <c r="E3500" t="inlineStr">
        <is>
          <t>FINSPÅNG</t>
        </is>
      </c>
      <c r="G3500" t="n">
        <v>0.6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s="2" t="inlineStr"/>
    </row>
    <row r="3501" ht="15" customHeight="1">
      <c r="A3501" t="inlineStr">
        <is>
          <t>A 44468-2021</t>
        </is>
      </c>
      <c r="B3501" s="1" t="n">
        <v>44435</v>
      </c>
      <c r="C3501" s="1" t="n">
        <v>45211</v>
      </c>
      <c r="D3501" t="inlineStr">
        <is>
          <t>ÖSTERGÖTLANDS LÄN</t>
        </is>
      </c>
      <c r="E3501" t="inlineStr">
        <is>
          <t>MJÖLBY</t>
        </is>
      </c>
      <c r="F3501" t="inlineStr">
        <is>
          <t>Kommuner</t>
        </is>
      </c>
      <c r="G3501" t="n">
        <v>3.5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s="2" t="inlineStr"/>
    </row>
    <row r="3502" ht="15" customHeight="1">
      <c r="A3502" t="inlineStr">
        <is>
          <t>A 44543-2021</t>
        </is>
      </c>
      <c r="B3502" s="1" t="n">
        <v>44435</v>
      </c>
      <c r="C3502" s="1" t="n">
        <v>45211</v>
      </c>
      <c r="D3502" t="inlineStr">
        <is>
          <t>ÖSTERGÖTLANDS LÄN</t>
        </is>
      </c>
      <c r="E3502" t="inlineStr">
        <is>
          <t>KINDA</t>
        </is>
      </c>
      <c r="G3502" t="n">
        <v>10.2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s="2" t="inlineStr"/>
    </row>
    <row r="3503" ht="15" customHeight="1">
      <c r="A3503" t="inlineStr">
        <is>
          <t>A 44661-2021</t>
        </is>
      </c>
      <c r="B3503" s="1" t="n">
        <v>44438</v>
      </c>
      <c r="C3503" s="1" t="n">
        <v>45211</v>
      </c>
      <c r="D3503" t="inlineStr">
        <is>
          <t>ÖSTERGÖTLANDS LÄN</t>
        </is>
      </c>
      <c r="E3503" t="inlineStr">
        <is>
          <t>FINSPÅNG</t>
        </is>
      </c>
      <c r="G3503" t="n">
        <v>0.5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s="2" t="inlineStr"/>
    </row>
    <row r="3504" ht="15" customHeight="1">
      <c r="A3504" t="inlineStr">
        <is>
          <t>A 44936-2021</t>
        </is>
      </c>
      <c r="B3504" s="1" t="n">
        <v>44438</v>
      </c>
      <c r="C3504" s="1" t="n">
        <v>45211</v>
      </c>
      <c r="D3504" t="inlineStr">
        <is>
          <t>ÖSTERGÖTLANDS LÄN</t>
        </is>
      </c>
      <c r="E3504" t="inlineStr">
        <is>
          <t>NORRKÖPING</t>
        </is>
      </c>
      <c r="G3504" t="n">
        <v>1.4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s="2" t="inlineStr"/>
    </row>
    <row r="3505" ht="15" customHeight="1">
      <c r="A3505" t="inlineStr">
        <is>
          <t>A 45099-2021</t>
        </is>
      </c>
      <c r="B3505" s="1" t="n">
        <v>44438</v>
      </c>
      <c r="C3505" s="1" t="n">
        <v>45211</v>
      </c>
      <c r="D3505" t="inlineStr">
        <is>
          <t>ÖSTERGÖTLANDS LÄN</t>
        </is>
      </c>
      <c r="E3505" t="inlineStr">
        <is>
          <t>FINSPÅNG</t>
        </is>
      </c>
      <c r="G3505" t="n">
        <v>2.2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s="2" t="inlineStr"/>
    </row>
    <row r="3506" ht="15" customHeight="1">
      <c r="A3506" t="inlineStr">
        <is>
          <t>A 44663-2021</t>
        </is>
      </c>
      <c r="B3506" s="1" t="n">
        <v>44438</v>
      </c>
      <c r="C3506" s="1" t="n">
        <v>45211</v>
      </c>
      <c r="D3506" t="inlineStr">
        <is>
          <t>ÖSTERGÖTLANDS LÄN</t>
        </is>
      </c>
      <c r="E3506" t="inlineStr">
        <is>
          <t>FINSPÅNG</t>
        </is>
      </c>
      <c r="G3506" t="n">
        <v>0.6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s="2" t="inlineStr"/>
    </row>
    <row r="3507" ht="15" customHeight="1">
      <c r="A3507" t="inlineStr">
        <is>
          <t>A 44937-2021</t>
        </is>
      </c>
      <c r="B3507" s="1" t="n">
        <v>44438</v>
      </c>
      <c r="C3507" s="1" t="n">
        <v>45211</v>
      </c>
      <c r="D3507" t="inlineStr">
        <is>
          <t>ÖSTERGÖTLANDS LÄN</t>
        </is>
      </c>
      <c r="E3507" t="inlineStr">
        <is>
          <t>NORRKÖPING</t>
        </is>
      </c>
      <c r="G3507" t="n">
        <v>2.5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s="2" t="inlineStr"/>
    </row>
    <row r="3508" ht="15" customHeight="1">
      <c r="A3508" t="inlineStr">
        <is>
          <t>A 44665-2021</t>
        </is>
      </c>
      <c r="B3508" s="1" t="n">
        <v>44438</v>
      </c>
      <c r="C3508" s="1" t="n">
        <v>45211</v>
      </c>
      <c r="D3508" t="inlineStr">
        <is>
          <t>ÖSTERGÖTLANDS LÄN</t>
        </is>
      </c>
      <c r="E3508" t="inlineStr">
        <is>
          <t>FINSPÅNG</t>
        </is>
      </c>
      <c r="G3508" t="n">
        <v>0.5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s="2" t="inlineStr"/>
    </row>
    <row r="3509" ht="15" customHeight="1">
      <c r="A3509" t="inlineStr">
        <is>
          <t>A 44856-2021</t>
        </is>
      </c>
      <c r="B3509" s="1" t="n">
        <v>44438</v>
      </c>
      <c r="C3509" s="1" t="n">
        <v>45211</v>
      </c>
      <c r="D3509" t="inlineStr">
        <is>
          <t>ÖSTERGÖTLANDS LÄN</t>
        </is>
      </c>
      <c r="E3509" t="inlineStr">
        <is>
          <t>YDRE</t>
        </is>
      </c>
      <c r="G3509" t="n">
        <v>1.4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s="2" t="inlineStr"/>
    </row>
    <row r="3510" ht="15" customHeight="1">
      <c r="A3510" t="inlineStr">
        <is>
          <t>A 44859-2021</t>
        </is>
      </c>
      <c r="B3510" s="1" t="n">
        <v>44438</v>
      </c>
      <c r="C3510" s="1" t="n">
        <v>45211</v>
      </c>
      <c r="D3510" t="inlineStr">
        <is>
          <t>ÖSTERGÖTLANDS LÄN</t>
        </is>
      </c>
      <c r="E3510" t="inlineStr">
        <is>
          <t>YDRE</t>
        </is>
      </c>
      <c r="G3510" t="n">
        <v>2.7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s="2" t="inlineStr"/>
    </row>
    <row r="3511" ht="15" customHeight="1">
      <c r="A3511" t="inlineStr">
        <is>
          <t>A 45194-2021</t>
        </is>
      </c>
      <c r="B3511" s="1" t="n">
        <v>44439</v>
      </c>
      <c r="C3511" s="1" t="n">
        <v>45211</v>
      </c>
      <c r="D3511" t="inlineStr">
        <is>
          <t>ÖSTERGÖTLANDS LÄN</t>
        </is>
      </c>
      <c r="E3511" t="inlineStr">
        <is>
          <t>YDRE</t>
        </is>
      </c>
      <c r="G3511" t="n">
        <v>2.9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s="2" t="inlineStr"/>
    </row>
    <row r="3512" ht="15" customHeight="1">
      <c r="A3512" t="inlineStr">
        <is>
          <t>A 45100-2021</t>
        </is>
      </c>
      <c r="B3512" s="1" t="n">
        <v>44439</v>
      </c>
      <c r="C3512" s="1" t="n">
        <v>45211</v>
      </c>
      <c r="D3512" t="inlineStr">
        <is>
          <t>ÖSTERGÖTLANDS LÄN</t>
        </is>
      </c>
      <c r="E3512" t="inlineStr">
        <is>
          <t>ÅTVIDABERG</t>
        </is>
      </c>
      <c r="G3512" t="n">
        <v>2.1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s="2" t="inlineStr"/>
    </row>
    <row r="3513" ht="15" customHeight="1">
      <c r="A3513" t="inlineStr">
        <is>
          <t>A 45067-2021</t>
        </is>
      </c>
      <c r="B3513" s="1" t="n">
        <v>44439</v>
      </c>
      <c r="C3513" s="1" t="n">
        <v>45211</v>
      </c>
      <c r="D3513" t="inlineStr">
        <is>
          <t>ÖSTERGÖTLANDS LÄN</t>
        </is>
      </c>
      <c r="E3513" t="inlineStr">
        <is>
          <t>ÅTVIDABERG</t>
        </is>
      </c>
      <c r="G3513" t="n">
        <v>2.6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s="2" t="inlineStr"/>
    </row>
    <row r="3514" ht="15" customHeight="1">
      <c r="A3514" t="inlineStr">
        <is>
          <t>A 45170-2021</t>
        </is>
      </c>
      <c r="B3514" s="1" t="n">
        <v>44439</v>
      </c>
      <c r="C3514" s="1" t="n">
        <v>45211</v>
      </c>
      <c r="D3514" t="inlineStr">
        <is>
          <t>ÖSTERGÖTLANDS LÄN</t>
        </is>
      </c>
      <c r="E3514" t="inlineStr">
        <is>
          <t>KINDA</t>
        </is>
      </c>
      <c r="G3514" t="n">
        <v>0.7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s="2" t="inlineStr"/>
    </row>
    <row r="3515" ht="15" customHeight="1">
      <c r="A3515" t="inlineStr">
        <is>
          <t>A 45381-2021</t>
        </is>
      </c>
      <c r="B3515" s="1" t="n">
        <v>44440</v>
      </c>
      <c r="C3515" s="1" t="n">
        <v>45211</v>
      </c>
      <c r="D3515" t="inlineStr">
        <is>
          <t>ÖSTERGÖTLANDS LÄN</t>
        </is>
      </c>
      <c r="E3515" t="inlineStr">
        <is>
          <t>NORRKÖPING</t>
        </is>
      </c>
      <c r="G3515" t="n">
        <v>5.1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s="2" t="inlineStr"/>
    </row>
    <row r="3516" ht="15" customHeight="1">
      <c r="A3516" t="inlineStr">
        <is>
          <t>A 45731-2021</t>
        </is>
      </c>
      <c r="B3516" s="1" t="n">
        <v>44441</v>
      </c>
      <c r="C3516" s="1" t="n">
        <v>45211</v>
      </c>
      <c r="D3516" t="inlineStr">
        <is>
          <t>ÖSTERGÖTLANDS LÄN</t>
        </is>
      </c>
      <c r="E3516" t="inlineStr">
        <is>
          <t>LINKÖPING</t>
        </is>
      </c>
      <c r="F3516" t="inlineStr">
        <is>
          <t>Sveaskog</t>
        </is>
      </c>
      <c r="G3516" t="n">
        <v>4.7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s="2" t="inlineStr"/>
    </row>
    <row r="3517" ht="15" customHeight="1">
      <c r="A3517" t="inlineStr">
        <is>
          <t>A 45945-2021</t>
        </is>
      </c>
      <c r="B3517" s="1" t="n">
        <v>44441</v>
      </c>
      <c r="C3517" s="1" t="n">
        <v>45211</v>
      </c>
      <c r="D3517" t="inlineStr">
        <is>
          <t>ÖSTERGÖTLANDS LÄN</t>
        </is>
      </c>
      <c r="E3517" t="inlineStr">
        <is>
          <t>FINSPÅNG</t>
        </is>
      </c>
      <c r="G3517" t="n">
        <v>5.5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s="2" t="inlineStr"/>
    </row>
    <row r="3518" ht="15" customHeight="1">
      <c r="A3518" t="inlineStr">
        <is>
          <t>A 45761-2021</t>
        </is>
      </c>
      <c r="B3518" s="1" t="n">
        <v>44441</v>
      </c>
      <c r="C3518" s="1" t="n">
        <v>45211</v>
      </c>
      <c r="D3518" t="inlineStr">
        <is>
          <t>ÖSTERGÖTLANDS LÄN</t>
        </is>
      </c>
      <c r="E3518" t="inlineStr">
        <is>
          <t>FINSPÅNG</t>
        </is>
      </c>
      <c r="G3518" t="n">
        <v>3.5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s="2" t="inlineStr"/>
    </row>
    <row r="3519" ht="15" customHeight="1">
      <c r="A3519" t="inlineStr">
        <is>
          <t>A 45956-2021</t>
        </is>
      </c>
      <c r="B3519" s="1" t="n">
        <v>44441</v>
      </c>
      <c r="C3519" s="1" t="n">
        <v>45211</v>
      </c>
      <c r="D3519" t="inlineStr">
        <is>
          <t>ÖSTERGÖTLANDS LÄN</t>
        </is>
      </c>
      <c r="E3519" t="inlineStr">
        <is>
          <t>NORRKÖPING</t>
        </is>
      </c>
      <c r="F3519" t="inlineStr">
        <is>
          <t>Holmen skog AB</t>
        </is>
      </c>
      <c r="G3519" t="n">
        <v>1.4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s="2" t="inlineStr"/>
    </row>
    <row r="3520" ht="15" customHeight="1">
      <c r="A3520" t="inlineStr">
        <is>
          <t>A 45947-2021</t>
        </is>
      </c>
      <c r="B3520" s="1" t="n">
        <v>44441</v>
      </c>
      <c r="C3520" s="1" t="n">
        <v>45211</v>
      </c>
      <c r="D3520" t="inlineStr">
        <is>
          <t>ÖSTERGÖTLANDS LÄN</t>
        </is>
      </c>
      <c r="E3520" t="inlineStr">
        <is>
          <t>NORRKÖPING</t>
        </is>
      </c>
      <c r="F3520" t="inlineStr">
        <is>
          <t>Holmen skog AB</t>
        </is>
      </c>
      <c r="G3520" t="n">
        <v>1.7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s="2" t="inlineStr"/>
    </row>
    <row r="3521" ht="15" customHeight="1">
      <c r="A3521" t="inlineStr">
        <is>
          <t>A 46225-2021</t>
        </is>
      </c>
      <c r="B3521" s="1" t="n">
        <v>44442</v>
      </c>
      <c r="C3521" s="1" t="n">
        <v>45211</v>
      </c>
      <c r="D3521" t="inlineStr">
        <is>
          <t>ÖSTERGÖTLANDS LÄN</t>
        </is>
      </c>
      <c r="E3521" t="inlineStr">
        <is>
          <t>LINKÖPING</t>
        </is>
      </c>
      <c r="G3521" t="n">
        <v>2.9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s="2" t="inlineStr"/>
    </row>
    <row r="3522" ht="15" customHeight="1">
      <c r="A3522" t="inlineStr">
        <is>
          <t>A 46416-2021</t>
        </is>
      </c>
      <c r="B3522" s="1" t="n">
        <v>44442</v>
      </c>
      <c r="C3522" s="1" t="n">
        <v>45211</v>
      </c>
      <c r="D3522" t="inlineStr">
        <is>
          <t>ÖSTERGÖTLANDS LÄN</t>
        </is>
      </c>
      <c r="E3522" t="inlineStr">
        <is>
          <t>LINKÖPING</t>
        </is>
      </c>
      <c r="G3522" t="n">
        <v>2.3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s="2" t="inlineStr"/>
    </row>
    <row r="3523" ht="15" customHeight="1">
      <c r="A3523" t="inlineStr">
        <is>
          <t>A 46240-2021</t>
        </is>
      </c>
      <c r="B3523" s="1" t="n">
        <v>44442</v>
      </c>
      <c r="C3523" s="1" t="n">
        <v>45211</v>
      </c>
      <c r="D3523" t="inlineStr">
        <is>
          <t>ÖSTERGÖTLANDS LÄN</t>
        </is>
      </c>
      <c r="E3523" t="inlineStr">
        <is>
          <t>MJÖLBY</t>
        </is>
      </c>
      <c r="G3523" t="n">
        <v>1.6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s="2" t="inlineStr"/>
    </row>
    <row r="3524" ht="15" customHeight="1">
      <c r="A3524" t="inlineStr">
        <is>
          <t>A 46405-2021</t>
        </is>
      </c>
      <c r="B3524" s="1" t="n">
        <v>44444</v>
      </c>
      <c r="C3524" s="1" t="n">
        <v>45211</v>
      </c>
      <c r="D3524" t="inlineStr">
        <is>
          <t>ÖSTERGÖTLANDS LÄN</t>
        </is>
      </c>
      <c r="E3524" t="inlineStr">
        <is>
          <t>FINSPÅNG</t>
        </is>
      </c>
      <c r="G3524" t="n">
        <v>1.6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s="2" t="inlineStr"/>
    </row>
    <row r="3525" ht="15" customHeight="1">
      <c r="A3525" t="inlineStr">
        <is>
          <t>A 46675-2021</t>
        </is>
      </c>
      <c r="B3525" s="1" t="n">
        <v>44445</v>
      </c>
      <c r="C3525" s="1" t="n">
        <v>45211</v>
      </c>
      <c r="D3525" t="inlineStr">
        <is>
          <t>ÖSTERGÖTLANDS LÄN</t>
        </is>
      </c>
      <c r="E3525" t="inlineStr">
        <is>
          <t>MOTALA</t>
        </is>
      </c>
      <c r="F3525" t="inlineStr">
        <is>
          <t>Övriga statliga verk och myndigheter</t>
        </is>
      </c>
      <c r="G3525" t="n">
        <v>1.7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s="2" t="inlineStr"/>
    </row>
    <row r="3526" ht="15" customHeight="1">
      <c r="A3526" t="inlineStr">
        <is>
          <t>A 46706-2021</t>
        </is>
      </c>
      <c r="B3526" s="1" t="n">
        <v>44445</v>
      </c>
      <c r="C3526" s="1" t="n">
        <v>45211</v>
      </c>
      <c r="D3526" t="inlineStr">
        <is>
          <t>ÖSTERGÖTLANDS LÄN</t>
        </is>
      </c>
      <c r="E3526" t="inlineStr">
        <is>
          <t>LINKÖPING</t>
        </is>
      </c>
      <c r="F3526" t="inlineStr">
        <is>
          <t>Övriga statliga verk och myndigheter</t>
        </is>
      </c>
      <c r="G3526" t="n">
        <v>3.1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s="2" t="inlineStr"/>
    </row>
    <row r="3527" ht="15" customHeight="1">
      <c r="A3527" t="inlineStr">
        <is>
          <t>A 46730-2021</t>
        </is>
      </c>
      <c r="B3527" s="1" t="n">
        <v>44445</v>
      </c>
      <c r="C3527" s="1" t="n">
        <v>45211</v>
      </c>
      <c r="D3527" t="inlineStr">
        <is>
          <t>ÖSTERGÖTLANDS LÄN</t>
        </is>
      </c>
      <c r="E3527" t="inlineStr">
        <is>
          <t>LINKÖPING</t>
        </is>
      </c>
      <c r="F3527" t="inlineStr">
        <is>
          <t>Övriga statliga verk och myndigheter</t>
        </is>
      </c>
      <c r="G3527" t="n">
        <v>1.1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s="2" t="inlineStr"/>
    </row>
    <row r="3528" ht="15" customHeight="1">
      <c r="A3528" t="inlineStr">
        <is>
          <t>A 46672-2021</t>
        </is>
      </c>
      <c r="B3528" s="1" t="n">
        <v>44445</v>
      </c>
      <c r="C3528" s="1" t="n">
        <v>45211</v>
      </c>
      <c r="D3528" t="inlineStr">
        <is>
          <t>ÖSTERGÖTLANDS LÄN</t>
        </is>
      </c>
      <c r="E3528" t="inlineStr">
        <is>
          <t>MOTALA</t>
        </is>
      </c>
      <c r="F3528" t="inlineStr">
        <is>
          <t>Övriga statliga verk och myndigheter</t>
        </is>
      </c>
      <c r="G3528" t="n">
        <v>1.7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s="2" t="inlineStr"/>
    </row>
    <row r="3529" ht="15" customHeight="1">
      <c r="A3529" t="inlineStr">
        <is>
          <t>A 46686-2021</t>
        </is>
      </c>
      <c r="B3529" s="1" t="n">
        <v>44445</v>
      </c>
      <c r="C3529" s="1" t="n">
        <v>45211</v>
      </c>
      <c r="D3529" t="inlineStr">
        <is>
          <t>ÖSTERGÖTLANDS LÄN</t>
        </is>
      </c>
      <c r="E3529" t="inlineStr">
        <is>
          <t>KINDA</t>
        </is>
      </c>
      <c r="G3529" t="n">
        <v>1.1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s="2" t="inlineStr"/>
    </row>
    <row r="3530" ht="15" customHeight="1">
      <c r="A3530" t="inlineStr">
        <is>
          <t>A 46580-2021</t>
        </is>
      </c>
      <c r="B3530" s="1" t="n">
        <v>44445</v>
      </c>
      <c r="C3530" s="1" t="n">
        <v>45211</v>
      </c>
      <c r="D3530" t="inlineStr">
        <is>
          <t>ÖSTERGÖTLANDS LÄN</t>
        </is>
      </c>
      <c r="E3530" t="inlineStr">
        <is>
          <t>NORRKÖPING</t>
        </is>
      </c>
      <c r="F3530" t="inlineStr">
        <is>
          <t>Holmen skog AB</t>
        </is>
      </c>
      <c r="G3530" t="n">
        <v>2.2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s="2" t="inlineStr"/>
    </row>
    <row r="3531" ht="15" customHeight="1">
      <c r="A3531" t="inlineStr">
        <is>
          <t>A 46681-2021</t>
        </is>
      </c>
      <c r="B3531" s="1" t="n">
        <v>44445</v>
      </c>
      <c r="C3531" s="1" t="n">
        <v>45211</v>
      </c>
      <c r="D3531" t="inlineStr">
        <is>
          <t>ÖSTERGÖTLANDS LÄN</t>
        </is>
      </c>
      <c r="E3531" t="inlineStr">
        <is>
          <t>MOTALA</t>
        </is>
      </c>
      <c r="F3531" t="inlineStr">
        <is>
          <t>Övriga statliga verk och myndigheter</t>
        </is>
      </c>
      <c r="G3531" t="n">
        <v>1.5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s="2" t="inlineStr"/>
    </row>
    <row r="3532" ht="15" customHeight="1">
      <c r="A3532" t="inlineStr">
        <is>
          <t>A 46727-2021</t>
        </is>
      </c>
      <c r="B3532" s="1" t="n">
        <v>44445</v>
      </c>
      <c r="C3532" s="1" t="n">
        <v>45211</v>
      </c>
      <c r="D3532" t="inlineStr">
        <is>
          <t>ÖSTERGÖTLANDS LÄN</t>
        </is>
      </c>
      <c r="E3532" t="inlineStr">
        <is>
          <t>LINKÖPING</t>
        </is>
      </c>
      <c r="F3532" t="inlineStr">
        <is>
          <t>Övriga statliga verk och myndigheter</t>
        </is>
      </c>
      <c r="G3532" t="n">
        <v>2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s="2" t="inlineStr"/>
    </row>
    <row r="3533" ht="15" customHeight="1">
      <c r="A3533" t="inlineStr">
        <is>
          <t>A 47016-2021</t>
        </is>
      </c>
      <c r="B3533" s="1" t="n">
        <v>44446</v>
      </c>
      <c r="C3533" s="1" t="n">
        <v>45211</v>
      </c>
      <c r="D3533" t="inlineStr">
        <is>
          <t>ÖSTERGÖTLANDS LÄN</t>
        </is>
      </c>
      <c r="E3533" t="inlineStr">
        <is>
          <t>KINDA</t>
        </is>
      </c>
      <c r="G3533" t="n">
        <v>2.3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s="2" t="inlineStr"/>
    </row>
    <row r="3534" ht="15" customHeight="1">
      <c r="A3534" t="inlineStr">
        <is>
          <t>A 47000-2021</t>
        </is>
      </c>
      <c r="B3534" s="1" t="n">
        <v>44446</v>
      </c>
      <c r="C3534" s="1" t="n">
        <v>45211</v>
      </c>
      <c r="D3534" t="inlineStr">
        <is>
          <t>ÖSTERGÖTLANDS LÄN</t>
        </is>
      </c>
      <c r="E3534" t="inlineStr">
        <is>
          <t>KINDA</t>
        </is>
      </c>
      <c r="G3534" t="n">
        <v>1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s="2" t="inlineStr"/>
    </row>
    <row r="3535" ht="15" customHeight="1">
      <c r="A3535" t="inlineStr">
        <is>
          <t>A 46958-2021</t>
        </is>
      </c>
      <c r="B3535" s="1" t="n">
        <v>44446</v>
      </c>
      <c r="C3535" s="1" t="n">
        <v>45211</v>
      </c>
      <c r="D3535" t="inlineStr">
        <is>
          <t>ÖSTERGÖTLANDS LÄN</t>
        </is>
      </c>
      <c r="E3535" t="inlineStr">
        <is>
          <t>MOTALA</t>
        </is>
      </c>
      <c r="G3535" t="n">
        <v>1.6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s="2" t="inlineStr"/>
    </row>
    <row r="3536" ht="15" customHeight="1">
      <c r="A3536" t="inlineStr">
        <is>
          <t>A 47125-2021</t>
        </is>
      </c>
      <c r="B3536" s="1" t="n">
        <v>44446</v>
      </c>
      <c r="C3536" s="1" t="n">
        <v>45211</v>
      </c>
      <c r="D3536" t="inlineStr">
        <is>
          <t>ÖSTERGÖTLANDS LÄN</t>
        </is>
      </c>
      <c r="E3536" t="inlineStr">
        <is>
          <t>NORRKÖPING</t>
        </is>
      </c>
      <c r="F3536" t="inlineStr">
        <is>
          <t>Holmen skog AB</t>
        </is>
      </c>
      <c r="G3536" t="n">
        <v>2.5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s="2" t="inlineStr"/>
    </row>
    <row r="3537" ht="15" customHeight="1">
      <c r="A3537" t="inlineStr">
        <is>
          <t>A 47368-2021</t>
        </is>
      </c>
      <c r="B3537" s="1" t="n">
        <v>44447</v>
      </c>
      <c r="C3537" s="1" t="n">
        <v>45211</v>
      </c>
      <c r="D3537" t="inlineStr">
        <is>
          <t>ÖSTERGÖTLANDS LÄN</t>
        </is>
      </c>
      <c r="E3537" t="inlineStr">
        <is>
          <t>SÖDERKÖPING</t>
        </is>
      </c>
      <c r="G3537" t="n">
        <v>1.7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s="2" t="inlineStr"/>
    </row>
    <row r="3538" ht="15" customHeight="1">
      <c r="A3538" t="inlineStr">
        <is>
          <t>A 47265-2021</t>
        </is>
      </c>
      <c r="B3538" s="1" t="n">
        <v>44447</v>
      </c>
      <c r="C3538" s="1" t="n">
        <v>45211</v>
      </c>
      <c r="D3538" t="inlineStr">
        <is>
          <t>ÖSTERGÖTLANDS LÄN</t>
        </is>
      </c>
      <c r="E3538" t="inlineStr">
        <is>
          <t>LINKÖPING</t>
        </is>
      </c>
      <c r="F3538" t="inlineStr">
        <is>
          <t>Övriga Aktiebolag</t>
        </is>
      </c>
      <c r="G3538" t="n">
        <v>3.4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s="2" t="inlineStr"/>
    </row>
    <row r="3539" ht="15" customHeight="1">
      <c r="A3539" t="inlineStr">
        <is>
          <t>A 47323-2021</t>
        </is>
      </c>
      <c r="B3539" s="1" t="n">
        <v>44447</v>
      </c>
      <c r="C3539" s="1" t="n">
        <v>45211</v>
      </c>
      <c r="D3539" t="inlineStr">
        <is>
          <t>ÖSTERGÖTLANDS LÄN</t>
        </is>
      </c>
      <c r="E3539" t="inlineStr">
        <is>
          <t>ÅTVIDABERG</t>
        </is>
      </c>
      <c r="G3539" t="n">
        <v>7.2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s="2" t="inlineStr"/>
    </row>
    <row r="3540" ht="15" customHeight="1">
      <c r="A3540" t="inlineStr">
        <is>
          <t>A 47467-2021</t>
        </is>
      </c>
      <c r="B3540" s="1" t="n">
        <v>44447</v>
      </c>
      <c r="C3540" s="1" t="n">
        <v>45211</v>
      </c>
      <c r="D3540" t="inlineStr">
        <is>
          <t>ÖSTERGÖTLANDS LÄN</t>
        </is>
      </c>
      <c r="E3540" t="inlineStr">
        <is>
          <t>YDRE</t>
        </is>
      </c>
      <c r="F3540" t="inlineStr">
        <is>
          <t>Sveaskog</t>
        </is>
      </c>
      <c r="G3540" t="n">
        <v>1.8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s="2" t="inlineStr"/>
    </row>
    <row r="3541" ht="15" customHeight="1">
      <c r="A3541" t="inlineStr">
        <is>
          <t>A 47252-2021</t>
        </is>
      </c>
      <c r="B3541" s="1" t="n">
        <v>44447</v>
      </c>
      <c r="C3541" s="1" t="n">
        <v>45211</v>
      </c>
      <c r="D3541" t="inlineStr">
        <is>
          <t>ÖSTERGÖTLANDS LÄN</t>
        </is>
      </c>
      <c r="E3541" t="inlineStr">
        <is>
          <t>NORRKÖPING</t>
        </is>
      </c>
      <c r="G3541" t="n">
        <v>6.4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s="2" t="inlineStr"/>
    </row>
    <row r="3542" ht="15" customHeight="1">
      <c r="A3542" t="inlineStr">
        <is>
          <t>A 47364-2021</t>
        </is>
      </c>
      <c r="B3542" s="1" t="n">
        <v>44447</v>
      </c>
      <c r="C3542" s="1" t="n">
        <v>45211</v>
      </c>
      <c r="D3542" t="inlineStr">
        <is>
          <t>ÖSTERGÖTLANDS LÄN</t>
        </is>
      </c>
      <c r="E3542" t="inlineStr">
        <is>
          <t>SÖDERKÖPING</t>
        </is>
      </c>
      <c r="G3542" t="n">
        <v>1.3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s="2" t="inlineStr"/>
    </row>
    <row r="3543" ht="15" customHeight="1">
      <c r="A3543" t="inlineStr">
        <is>
          <t>A 47579-2021</t>
        </is>
      </c>
      <c r="B3543" s="1" t="n">
        <v>44447</v>
      </c>
      <c r="C3543" s="1" t="n">
        <v>45211</v>
      </c>
      <c r="D3543" t="inlineStr">
        <is>
          <t>ÖSTERGÖTLANDS LÄN</t>
        </is>
      </c>
      <c r="E3543" t="inlineStr">
        <is>
          <t>KINDA</t>
        </is>
      </c>
      <c r="G3543" t="n">
        <v>2.4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s="2" t="inlineStr"/>
    </row>
    <row r="3544" ht="15" customHeight="1">
      <c r="A3544" t="inlineStr">
        <is>
          <t>A 47257-2021</t>
        </is>
      </c>
      <c r="B3544" s="1" t="n">
        <v>44447</v>
      </c>
      <c r="C3544" s="1" t="n">
        <v>45211</v>
      </c>
      <c r="D3544" t="inlineStr">
        <is>
          <t>ÖSTERGÖTLANDS LÄN</t>
        </is>
      </c>
      <c r="E3544" t="inlineStr">
        <is>
          <t>NORRKÖPING</t>
        </is>
      </c>
      <c r="G3544" t="n">
        <v>2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s="2" t="inlineStr"/>
    </row>
    <row r="3545" ht="15" customHeight="1">
      <c r="A3545" t="inlineStr">
        <is>
          <t>A 47330-2021</t>
        </is>
      </c>
      <c r="B3545" s="1" t="n">
        <v>44447</v>
      </c>
      <c r="C3545" s="1" t="n">
        <v>45211</v>
      </c>
      <c r="D3545" t="inlineStr">
        <is>
          <t>ÖSTERGÖTLANDS LÄN</t>
        </is>
      </c>
      <c r="E3545" t="inlineStr">
        <is>
          <t>ÅTVIDABERG</t>
        </is>
      </c>
      <c r="G3545" t="n">
        <v>1.6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s="2" t="inlineStr"/>
    </row>
    <row r="3546" ht="15" customHeight="1">
      <c r="A3546" t="inlineStr">
        <is>
          <t>A 47377-2021</t>
        </is>
      </c>
      <c r="B3546" s="1" t="n">
        <v>44447</v>
      </c>
      <c r="C3546" s="1" t="n">
        <v>45211</v>
      </c>
      <c r="D3546" t="inlineStr">
        <is>
          <t>ÖSTERGÖTLANDS LÄN</t>
        </is>
      </c>
      <c r="E3546" t="inlineStr">
        <is>
          <t>SÖDERKÖPING</t>
        </is>
      </c>
      <c r="G3546" t="n">
        <v>2.4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s="2" t="inlineStr"/>
    </row>
    <row r="3547" ht="15" customHeight="1">
      <c r="A3547" t="inlineStr">
        <is>
          <t>A 47459-2021</t>
        </is>
      </c>
      <c r="B3547" s="1" t="n">
        <v>44447</v>
      </c>
      <c r="C3547" s="1" t="n">
        <v>45211</v>
      </c>
      <c r="D3547" t="inlineStr">
        <is>
          <t>ÖSTERGÖTLANDS LÄN</t>
        </is>
      </c>
      <c r="E3547" t="inlineStr">
        <is>
          <t>YDRE</t>
        </is>
      </c>
      <c r="F3547" t="inlineStr">
        <is>
          <t>Sveaskog</t>
        </is>
      </c>
      <c r="G3547" t="n">
        <v>2.5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s="2" t="inlineStr"/>
    </row>
    <row r="3548" ht="15" customHeight="1">
      <c r="A3548" t="inlineStr">
        <is>
          <t>A 47836-2021</t>
        </is>
      </c>
      <c r="B3548" s="1" t="n">
        <v>44448</v>
      </c>
      <c r="C3548" s="1" t="n">
        <v>45211</v>
      </c>
      <c r="D3548" t="inlineStr">
        <is>
          <t>ÖSTERGÖTLANDS LÄN</t>
        </is>
      </c>
      <c r="E3548" t="inlineStr">
        <is>
          <t>FINSPÅNG</t>
        </is>
      </c>
      <c r="G3548" t="n">
        <v>0.5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s="2" t="inlineStr"/>
    </row>
    <row r="3549" ht="15" customHeight="1">
      <c r="A3549" t="inlineStr">
        <is>
          <t>A 47875-2021</t>
        </is>
      </c>
      <c r="B3549" s="1" t="n">
        <v>44448</v>
      </c>
      <c r="C3549" s="1" t="n">
        <v>45211</v>
      </c>
      <c r="D3549" t="inlineStr">
        <is>
          <t>ÖSTERGÖTLANDS LÄN</t>
        </is>
      </c>
      <c r="E3549" t="inlineStr">
        <is>
          <t>MOTALA</t>
        </is>
      </c>
      <c r="G3549" t="n">
        <v>1.9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s="2" t="inlineStr"/>
    </row>
    <row r="3550" ht="15" customHeight="1">
      <c r="A3550" t="inlineStr">
        <is>
          <t>A 47729-2021</t>
        </is>
      </c>
      <c r="B3550" s="1" t="n">
        <v>44448</v>
      </c>
      <c r="C3550" s="1" t="n">
        <v>45211</v>
      </c>
      <c r="D3550" t="inlineStr">
        <is>
          <t>ÖSTERGÖTLANDS LÄN</t>
        </is>
      </c>
      <c r="E3550" t="inlineStr">
        <is>
          <t>ÅTVIDABERG</t>
        </is>
      </c>
      <c r="G3550" t="n">
        <v>0.5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s="2" t="inlineStr"/>
    </row>
    <row r="3551" ht="15" customHeight="1">
      <c r="A3551" t="inlineStr">
        <is>
          <t>A 47895-2021</t>
        </is>
      </c>
      <c r="B3551" s="1" t="n">
        <v>44448</v>
      </c>
      <c r="C3551" s="1" t="n">
        <v>45211</v>
      </c>
      <c r="D3551" t="inlineStr">
        <is>
          <t>ÖSTERGÖTLANDS LÄN</t>
        </is>
      </c>
      <c r="E3551" t="inlineStr">
        <is>
          <t>NORRKÖPING</t>
        </is>
      </c>
      <c r="G3551" t="n">
        <v>3.9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s="2" t="inlineStr"/>
    </row>
    <row r="3552" ht="15" customHeight="1">
      <c r="A3552" t="inlineStr">
        <is>
          <t>A 48091-2021</t>
        </is>
      </c>
      <c r="B3552" s="1" t="n">
        <v>44448</v>
      </c>
      <c r="C3552" s="1" t="n">
        <v>45211</v>
      </c>
      <c r="D3552" t="inlineStr">
        <is>
          <t>ÖSTERGÖTLANDS LÄN</t>
        </is>
      </c>
      <c r="E3552" t="inlineStr">
        <is>
          <t>SÖDERKÖPING</t>
        </is>
      </c>
      <c r="G3552" t="n">
        <v>0.5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s="2" t="inlineStr"/>
    </row>
    <row r="3553" ht="15" customHeight="1">
      <c r="A3553" t="inlineStr">
        <is>
          <t>A 47899-2021</t>
        </is>
      </c>
      <c r="B3553" s="1" t="n">
        <v>44448</v>
      </c>
      <c r="C3553" s="1" t="n">
        <v>45211</v>
      </c>
      <c r="D3553" t="inlineStr">
        <is>
          <t>ÖSTERGÖTLANDS LÄN</t>
        </is>
      </c>
      <c r="E3553" t="inlineStr">
        <is>
          <t>NORRKÖPING</t>
        </is>
      </c>
      <c r="G3553" t="n">
        <v>0.7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s="2" t="inlineStr"/>
    </row>
    <row r="3554" ht="15" customHeight="1">
      <c r="A3554" t="inlineStr">
        <is>
          <t>A 48438-2021</t>
        </is>
      </c>
      <c r="B3554" s="1" t="n">
        <v>44449</v>
      </c>
      <c r="C3554" s="1" t="n">
        <v>45211</v>
      </c>
      <c r="D3554" t="inlineStr">
        <is>
          <t>ÖSTERGÖTLANDS LÄN</t>
        </is>
      </c>
      <c r="E3554" t="inlineStr">
        <is>
          <t>MJÖLBY</t>
        </is>
      </c>
      <c r="G3554" t="n">
        <v>6.6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s="2" t="inlineStr"/>
    </row>
    <row r="3555" ht="15" customHeight="1">
      <c r="A3555" t="inlineStr">
        <is>
          <t>A 48016-2021</t>
        </is>
      </c>
      <c r="B3555" s="1" t="n">
        <v>44449</v>
      </c>
      <c r="C3555" s="1" t="n">
        <v>45211</v>
      </c>
      <c r="D3555" t="inlineStr">
        <is>
          <t>ÖSTERGÖTLANDS LÄN</t>
        </is>
      </c>
      <c r="E3555" t="inlineStr">
        <is>
          <t>LINKÖPING</t>
        </is>
      </c>
      <c r="G3555" t="n">
        <v>1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s="2" t="inlineStr"/>
    </row>
    <row r="3556" ht="15" customHeight="1">
      <c r="A3556" t="inlineStr">
        <is>
          <t>A 48230-2021</t>
        </is>
      </c>
      <c r="B3556" s="1" t="n">
        <v>44449</v>
      </c>
      <c r="C3556" s="1" t="n">
        <v>45211</v>
      </c>
      <c r="D3556" t="inlineStr">
        <is>
          <t>ÖSTERGÖTLANDS LÄN</t>
        </is>
      </c>
      <c r="E3556" t="inlineStr">
        <is>
          <t>NORRKÖPING</t>
        </is>
      </c>
      <c r="F3556" t="inlineStr">
        <is>
          <t>Allmännings- och besparingsskogar</t>
        </is>
      </c>
      <c r="G3556" t="n">
        <v>4.3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s="2" t="inlineStr"/>
    </row>
    <row r="3557" ht="15" customHeight="1">
      <c r="A3557" t="inlineStr">
        <is>
          <t>A 48291-2021</t>
        </is>
      </c>
      <c r="B3557" s="1" t="n">
        <v>44449</v>
      </c>
      <c r="C3557" s="1" t="n">
        <v>45211</v>
      </c>
      <c r="D3557" t="inlineStr">
        <is>
          <t>ÖSTERGÖTLANDS LÄN</t>
        </is>
      </c>
      <c r="E3557" t="inlineStr">
        <is>
          <t>ÅTVIDABERG</t>
        </is>
      </c>
      <c r="G3557" t="n">
        <v>1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s="2" t="inlineStr"/>
    </row>
    <row r="3558" ht="15" customHeight="1">
      <c r="A3558" t="inlineStr">
        <is>
          <t>A 48431-2021</t>
        </is>
      </c>
      <c r="B3558" s="1" t="n">
        <v>44449</v>
      </c>
      <c r="C3558" s="1" t="n">
        <v>45211</v>
      </c>
      <c r="D3558" t="inlineStr">
        <is>
          <t>ÖSTERGÖTLANDS LÄN</t>
        </is>
      </c>
      <c r="E3558" t="inlineStr">
        <is>
          <t>MJÖLBY</t>
        </is>
      </c>
      <c r="G3558" t="n">
        <v>2.2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s="2" t="inlineStr"/>
    </row>
    <row r="3559" ht="15" customHeight="1">
      <c r="A3559" t="inlineStr">
        <is>
          <t>A 48492-2021</t>
        </is>
      </c>
      <c r="B3559" s="1" t="n">
        <v>44452</v>
      </c>
      <c r="C3559" s="1" t="n">
        <v>45211</v>
      </c>
      <c r="D3559" t="inlineStr">
        <is>
          <t>ÖSTERGÖTLANDS LÄN</t>
        </is>
      </c>
      <c r="E3559" t="inlineStr">
        <is>
          <t>NORRKÖPING</t>
        </is>
      </c>
      <c r="G3559" t="n">
        <v>2.7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s="2" t="inlineStr"/>
    </row>
    <row r="3560" ht="15" customHeight="1">
      <c r="A3560" t="inlineStr">
        <is>
          <t>A 48931-2021</t>
        </is>
      </c>
      <c r="B3560" s="1" t="n">
        <v>44452</v>
      </c>
      <c r="C3560" s="1" t="n">
        <v>45211</v>
      </c>
      <c r="D3560" t="inlineStr">
        <is>
          <t>ÖSTERGÖTLANDS LÄN</t>
        </is>
      </c>
      <c r="E3560" t="inlineStr">
        <is>
          <t>MOTALA</t>
        </is>
      </c>
      <c r="G3560" t="n">
        <v>3.6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s="2" t="inlineStr"/>
    </row>
    <row r="3561" ht="15" customHeight="1">
      <c r="A3561" t="inlineStr">
        <is>
          <t>A 48591-2021</t>
        </is>
      </c>
      <c r="B3561" s="1" t="n">
        <v>44452</v>
      </c>
      <c r="C3561" s="1" t="n">
        <v>45211</v>
      </c>
      <c r="D3561" t="inlineStr">
        <is>
          <t>ÖSTERGÖTLANDS LÄN</t>
        </is>
      </c>
      <c r="E3561" t="inlineStr">
        <is>
          <t>NORRKÖPING</t>
        </is>
      </c>
      <c r="F3561" t="inlineStr">
        <is>
          <t>Holmen skog AB</t>
        </is>
      </c>
      <c r="G3561" t="n">
        <v>6.1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s="2" t="inlineStr"/>
    </row>
    <row r="3562" ht="15" customHeight="1">
      <c r="A3562" t="inlineStr">
        <is>
          <t>A 48448-2021</t>
        </is>
      </c>
      <c r="B3562" s="1" t="n">
        <v>44452</v>
      </c>
      <c r="C3562" s="1" t="n">
        <v>45211</v>
      </c>
      <c r="D3562" t="inlineStr">
        <is>
          <t>ÖSTERGÖTLANDS LÄN</t>
        </is>
      </c>
      <c r="E3562" t="inlineStr">
        <is>
          <t>KINDA</t>
        </is>
      </c>
      <c r="F3562" t="inlineStr">
        <is>
          <t>Övriga Aktiebolag</t>
        </is>
      </c>
      <c r="G3562" t="n">
        <v>4.1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s="2" t="inlineStr"/>
    </row>
    <row r="3563" ht="15" customHeight="1">
      <c r="A3563" t="inlineStr">
        <is>
          <t>A 49021-2021</t>
        </is>
      </c>
      <c r="B3563" s="1" t="n">
        <v>44453</v>
      </c>
      <c r="C3563" s="1" t="n">
        <v>45211</v>
      </c>
      <c r="D3563" t="inlineStr">
        <is>
          <t>ÖSTERGÖTLANDS LÄN</t>
        </is>
      </c>
      <c r="E3563" t="inlineStr">
        <is>
          <t>SÖDERKÖPING</t>
        </is>
      </c>
      <c r="G3563" t="n">
        <v>1.3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s="2" t="inlineStr"/>
    </row>
    <row r="3564" ht="15" customHeight="1">
      <c r="A3564" t="inlineStr">
        <is>
          <t>A 49303-2021</t>
        </is>
      </c>
      <c r="B3564" s="1" t="n">
        <v>44454</v>
      </c>
      <c r="C3564" s="1" t="n">
        <v>45211</v>
      </c>
      <c r="D3564" t="inlineStr">
        <is>
          <t>ÖSTERGÖTLANDS LÄN</t>
        </is>
      </c>
      <c r="E3564" t="inlineStr">
        <is>
          <t>VALDEMARSVIK</t>
        </is>
      </c>
      <c r="G3564" t="n">
        <v>1.5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s="2" t="inlineStr"/>
    </row>
    <row r="3565" ht="15" customHeight="1">
      <c r="A3565" t="inlineStr">
        <is>
          <t>A 49465-2021</t>
        </is>
      </c>
      <c r="B3565" s="1" t="n">
        <v>44454</v>
      </c>
      <c r="C3565" s="1" t="n">
        <v>45211</v>
      </c>
      <c r="D3565" t="inlineStr">
        <is>
          <t>ÖSTERGÖTLANDS LÄN</t>
        </is>
      </c>
      <c r="E3565" t="inlineStr">
        <is>
          <t>BOXHOLM</t>
        </is>
      </c>
      <c r="G3565" t="n">
        <v>3.3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s="2" t="inlineStr"/>
    </row>
    <row r="3566" ht="15" customHeight="1">
      <c r="A3566" t="inlineStr">
        <is>
          <t>A 49506-2021</t>
        </is>
      </c>
      <c r="B3566" s="1" t="n">
        <v>44454</v>
      </c>
      <c r="C3566" s="1" t="n">
        <v>45211</v>
      </c>
      <c r="D3566" t="inlineStr">
        <is>
          <t>ÖSTERGÖTLANDS LÄN</t>
        </is>
      </c>
      <c r="E3566" t="inlineStr">
        <is>
          <t>YDRE</t>
        </is>
      </c>
      <c r="G3566" t="n">
        <v>1.2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s="2" t="inlineStr"/>
    </row>
    <row r="3567" ht="15" customHeight="1">
      <c r="A3567" t="inlineStr">
        <is>
          <t>A 49452-2021</t>
        </is>
      </c>
      <c r="B3567" s="1" t="n">
        <v>44454</v>
      </c>
      <c r="C3567" s="1" t="n">
        <v>45211</v>
      </c>
      <c r="D3567" t="inlineStr">
        <is>
          <t>ÖSTERGÖTLANDS LÄN</t>
        </is>
      </c>
      <c r="E3567" t="inlineStr">
        <is>
          <t>NORRKÖPING</t>
        </is>
      </c>
      <c r="F3567" t="inlineStr">
        <is>
          <t>Allmännings- och besparingsskogar</t>
        </is>
      </c>
      <c r="G3567" t="n">
        <v>2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s="2" t="inlineStr"/>
    </row>
    <row r="3568" ht="15" customHeight="1">
      <c r="A3568" t="inlineStr">
        <is>
          <t>A 49656-2021</t>
        </is>
      </c>
      <c r="B3568" s="1" t="n">
        <v>44454</v>
      </c>
      <c r="C3568" s="1" t="n">
        <v>45211</v>
      </c>
      <c r="D3568" t="inlineStr">
        <is>
          <t>ÖSTERGÖTLANDS LÄN</t>
        </is>
      </c>
      <c r="E3568" t="inlineStr">
        <is>
          <t>LINKÖPING</t>
        </is>
      </c>
      <c r="G3568" t="n">
        <v>2.3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s="2" t="inlineStr"/>
    </row>
    <row r="3569" ht="15" customHeight="1">
      <c r="A3569" t="inlineStr">
        <is>
          <t>A 49176-2021</t>
        </is>
      </c>
      <c r="B3569" s="1" t="n">
        <v>44454</v>
      </c>
      <c r="C3569" s="1" t="n">
        <v>45211</v>
      </c>
      <c r="D3569" t="inlineStr">
        <is>
          <t>ÖSTERGÖTLANDS LÄN</t>
        </is>
      </c>
      <c r="E3569" t="inlineStr">
        <is>
          <t>ÅTVIDABERG</t>
        </is>
      </c>
      <c r="G3569" t="n">
        <v>1.6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s="2" t="inlineStr"/>
    </row>
    <row r="3570" ht="15" customHeight="1">
      <c r="A3570" t="inlineStr">
        <is>
          <t>A 49299-2021</t>
        </is>
      </c>
      <c r="B3570" s="1" t="n">
        <v>44454</v>
      </c>
      <c r="C3570" s="1" t="n">
        <v>45211</v>
      </c>
      <c r="D3570" t="inlineStr">
        <is>
          <t>ÖSTERGÖTLANDS LÄN</t>
        </is>
      </c>
      <c r="E3570" t="inlineStr">
        <is>
          <t>VALDEMARSVIK</t>
        </is>
      </c>
      <c r="G3570" t="n">
        <v>3.6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s="2" t="inlineStr"/>
    </row>
    <row r="3571" ht="15" customHeight="1">
      <c r="A3571" t="inlineStr">
        <is>
          <t>A 49440-2021</t>
        </is>
      </c>
      <c r="B3571" s="1" t="n">
        <v>44454</v>
      </c>
      <c r="C3571" s="1" t="n">
        <v>45211</v>
      </c>
      <c r="D3571" t="inlineStr">
        <is>
          <t>ÖSTERGÖTLANDS LÄN</t>
        </is>
      </c>
      <c r="E3571" t="inlineStr">
        <is>
          <t>KINDA</t>
        </is>
      </c>
      <c r="G3571" t="n">
        <v>2.9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s="2" t="inlineStr"/>
    </row>
    <row r="3572" ht="15" customHeight="1">
      <c r="A3572" t="inlineStr">
        <is>
          <t>A 49566-2021</t>
        </is>
      </c>
      <c r="B3572" s="1" t="n">
        <v>44455</v>
      </c>
      <c r="C3572" s="1" t="n">
        <v>45211</v>
      </c>
      <c r="D3572" t="inlineStr">
        <is>
          <t>ÖSTERGÖTLANDS LÄN</t>
        </is>
      </c>
      <c r="E3572" t="inlineStr">
        <is>
          <t>MJÖLBY</t>
        </is>
      </c>
      <c r="G3572" t="n">
        <v>0.6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s="2" t="inlineStr"/>
    </row>
    <row r="3573" ht="15" customHeight="1">
      <c r="A3573" t="inlineStr">
        <is>
          <t>A 49612-2021</t>
        </is>
      </c>
      <c r="B3573" s="1" t="n">
        <v>44455</v>
      </c>
      <c r="C3573" s="1" t="n">
        <v>45211</v>
      </c>
      <c r="D3573" t="inlineStr">
        <is>
          <t>ÖSTERGÖTLANDS LÄN</t>
        </is>
      </c>
      <c r="E3573" t="inlineStr">
        <is>
          <t>FINSPÅNG</t>
        </is>
      </c>
      <c r="G3573" t="n">
        <v>2.4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s="2" t="inlineStr"/>
    </row>
    <row r="3574" ht="15" customHeight="1">
      <c r="A3574" t="inlineStr">
        <is>
          <t>A 49651-2021</t>
        </is>
      </c>
      <c r="B3574" s="1" t="n">
        <v>44455</v>
      </c>
      <c r="C3574" s="1" t="n">
        <v>45211</v>
      </c>
      <c r="D3574" t="inlineStr">
        <is>
          <t>ÖSTERGÖTLANDS LÄN</t>
        </is>
      </c>
      <c r="E3574" t="inlineStr">
        <is>
          <t>MOTALA</t>
        </is>
      </c>
      <c r="G3574" t="n">
        <v>1.2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s="2" t="inlineStr"/>
    </row>
    <row r="3575" ht="15" customHeight="1">
      <c r="A3575" t="inlineStr">
        <is>
          <t>A 49895-2021</t>
        </is>
      </c>
      <c r="B3575" s="1" t="n">
        <v>44455</v>
      </c>
      <c r="C3575" s="1" t="n">
        <v>45211</v>
      </c>
      <c r="D3575" t="inlineStr">
        <is>
          <t>ÖSTERGÖTLANDS LÄN</t>
        </is>
      </c>
      <c r="E3575" t="inlineStr">
        <is>
          <t>BOXHOLM</t>
        </is>
      </c>
      <c r="G3575" t="n">
        <v>5.5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s="2" t="inlineStr"/>
    </row>
    <row r="3576" ht="15" customHeight="1">
      <c r="A3576" t="inlineStr">
        <is>
          <t>A 49873-2021</t>
        </is>
      </c>
      <c r="B3576" s="1" t="n">
        <v>44455</v>
      </c>
      <c r="C3576" s="1" t="n">
        <v>45211</v>
      </c>
      <c r="D3576" t="inlineStr">
        <is>
          <t>ÖSTERGÖTLANDS LÄN</t>
        </is>
      </c>
      <c r="E3576" t="inlineStr">
        <is>
          <t>NORRKÖPING</t>
        </is>
      </c>
      <c r="G3576" t="n">
        <v>1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s="2" t="inlineStr"/>
    </row>
    <row r="3577" ht="15" customHeight="1">
      <c r="A3577" t="inlineStr">
        <is>
          <t>A 49627-2021</t>
        </is>
      </c>
      <c r="B3577" s="1" t="n">
        <v>44455</v>
      </c>
      <c r="C3577" s="1" t="n">
        <v>45211</v>
      </c>
      <c r="D3577" t="inlineStr">
        <is>
          <t>ÖSTERGÖTLANDS LÄN</t>
        </is>
      </c>
      <c r="E3577" t="inlineStr">
        <is>
          <t>MOTALA</t>
        </is>
      </c>
      <c r="G3577" t="n">
        <v>14.2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s="2" t="inlineStr"/>
    </row>
    <row r="3578" ht="15" customHeight="1">
      <c r="A3578" t="inlineStr">
        <is>
          <t>A 49646-2021</t>
        </is>
      </c>
      <c r="B3578" s="1" t="n">
        <v>44455</v>
      </c>
      <c r="C3578" s="1" t="n">
        <v>45211</v>
      </c>
      <c r="D3578" t="inlineStr">
        <is>
          <t>ÖSTERGÖTLANDS LÄN</t>
        </is>
      </c>
      <c r="E3578" t="inlineStr">
        <is>
          <t>MOTALA</t>
        </is>
      </c>
      <c r="G3578" t="n">
        <v>4.5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s="2" t="inlineStr"/>
    </row>
    <row r="3579" ht="15" customHeight="1">
      <c r="A3579" t="inlineStr">
        <is>
          <t>A 49831-2021</t>
        </is>
      </c>
      <c r="B3579" s="1" t="n">
        <v>44455</v>
      </c>
      <c r="C3579" s="1" t="n">
        <v>45211</v>
      </c>
      <c r="D3579" t="inlineStr">
        <is>
          <t>ÖSTERGÖTLANDS LÄN</t>
        </is>
      </c>
      <c r="E3579" t="inlineStr">
        <is>
          <t>FINSPÅNG</t>
        </is>
      </c>
      <c r="G3579" t="n">
        <v>1.8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s="2" t="inlineStr"/>
    </row>
    <row r="3580" ht="15" customHeight="1">
      <c r="A3580" t="inlineStr">
        <is>
          <t>A 49869-2021</t>
        </is>
      </c>
      <c r="B3580" s="1" t="n">
        <v>44455</v>
      </c>
      <c r="C3580" s="1" t="n">
        <v>45211</v>
      </c>
      <c r="D3580" t="inlineStr">
        <is>
          <t>ÖSTERGÖTLANDS LÄN</t>
        </is>
      </c>
      <c r="E3580" t="inlineStr">
        <is>
          <t>NORRKÖPING</t>
        </is>
      </c>
      <c r="G3580" t="n">
        <v>2.2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s="2" t="inlineStr"/>
    </row>
    <row r="3581" ht="15" customHeight="1">
      <c r="A3581" t="inlineStr">
        <is>
          <t>A 49658-2021</t>
        </is>
      </c>
      <c r="B3581" s="1" t="n">
        <v>44455</v>
      </c>
      <c r="C3581" s="1" t="n">
        <v>45211</v>
      </c>
      <c r="D3581" t="inlineStr">
        <is>
          <t>ÖSTERGÖTLANDS LÄN</t>
        </is>
      </c>
      <c r="E3581" t="inlineStr">
        <is>
          <t>MOTALA</t>
        </is>
      </c>
      <c r="G3581" t="n">
        <v>2.4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s="2" t="inlineStr"/>
    </row>
    <row r="3582" ht="15" customHeight="1">
      <c r="A3582" t="inlineStr">
        <is>
          <t>A 49787-2021</t>
        </is>
      </c>
      <c r="B3582" s="1" t="n">
        <v>44455</v>
      </c>
      <c r="C3582" s="1" t="n">
        <v>45211</v>
      </c>
      <c r="D3582" t="inlineStr">
        <is>
          <t>ÖSTERGÖTLANDS LÄN</t>
        </is>
      </c>
      <c r="E3582" t="inlineStr">
        <is>
          <t>MOTALA</t>
        </is>
      </c>
      <c r="G3582" t="n">
        <v>11.9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s="2" t="inlineStr"/>
    </row>
    <row r="3583" ht="15" customHeight="1">
      <c r="A3583" t="inlineStr">
        <is>
          <t>A 49897-2021</t>
        </is>
      </c>
      <c r="B3583" s="1" t="n">
        <v>44455</v>
      </c>
      <c r="C3583" s="1" t="n">
        <v>45211</v>
      </c>
      <c r="D3583" t="inlineStr">
        <is>
          <t>ÖSTERGÖTLANDS LÄN</t>
        </is>
      </c>
      <c r="E3583" t="inlineStr">
        <is>
          <t>BOXHOLM</t>
        </is>
      </c>
      <c r="G3583" t="n">
        <v>2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s="2" t="inlineStr"/>
    </row>
    <row r="3584" ht="15" customHeight="1">
      <c r="A3584" t="inlineStr">
        <is>
          <t>A 50133-2021</t>
        </is>
      </c>
      <c r="B3584" s="1" t="n">
        <v>44456</v>
      </c>
      <c r="C3584" s="1" t="n">
        <v>45211</v>
      </c>
      <c r="D3584" t="inlineStr">
        <is>
          <t>ÖSTERGÖTLANDS LÄN</t>
        </is>
      </c>
      <c r="E3584" t="inlineStr">
        <is>
          <t>NORRKÖPING</t>
        </is>
      </c>
      <c r="F3584" t="inlineStr">
        <is>
          <t>Holmen skog AB</t>
        </is>
      </c>
      <c r="G3584" t="n">
        <v>1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s="2" t="inlineStr"/>
    </row>
    <row r="3585" ht="15" customHeight="1">
      <c r="A3585" t="inlineStr">
        <is>
          <t>A 49990-2021</t>
        </is>
      </c>
      <c r="B3585" s="1" t="n">
        <v>44456</v>
      </c>
      <c r="C3585" s="1" t="n">
        <v>45211</v>
      </c>
      <c r="D3585" t="inlineStr">
        <is>
          <t>ÖSTERGÖTLANDS LÄN</t>
        </is>
      </c>
      <c r="E3585" t="inlineStr">
        <is>
          <t>BOXHOLM</t>
        </is>
      </c>
      <c r="G3585" t="n">
        <v>0.6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s="2" t="inlineStr"/>
    </row>
    <row r="3586" ht="15" customHeight="1">
      <c r="A3586" t="inlineStr">
        <is>
          <t>A 50101-2021</t>
        </is>
      </c>
      <c r="B3586" s="1" t="n">
        <v>44456</v>
      </c>
      <c r="C3586" s="1" t="n">
        <v>45211</v>
      </c>
      <c r="D3586" t="inlineStr">
        <is>
          <t>ÖSTERGÖTLANDS LÄN</t>
        </is>
      </c>
      <c r="E3586" t="inlineStr">
        <is>
          <t>KINDA</t>
        </is>
      </c>
      <c r="G3586" t="n">
        <v>1.4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s="2" t="inlineStr"/>
    </row>
    <row r="3587" ht="15" customHeight="1">
      <c r="A3587" t="inlineStr">
        <is>
          <t>A 50136-2021</t>
        </is>
      </c>
      <c r="B3587" s="1" t="n">
        <v>44456</v>
      </c>
      <c r="C3587" s="1" t="n">
        <v>45211</v>
      </c>
      <c r="D3587" t="inlineStr">
        <is>
          <t>ÖSTERGÖTLANDS LÄN</t>
        </is>
      </c>
      <c r="E3587" t="inlineStr">
        <is>
          <t>NORRKÖPING</t>
        </is>
      </c>
      <c r="F3587" t="inlineStr">
        <is>
          <t>Holmen skog AB</t>
        </is>
      </c>
      <c r="G3587" t="n">
        <v>1.4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s="2" t="inlineStr"/>
    </row>
    <row r="3588" ht="15" customHeight="1">
      <c r="A3588" t="inlineStr">
        <is>
          <t>A 49958-2021</t>
        </is>
      </c>
      <c r="B3588" s="1" t="n">
        <v>44456</v>
      </c>
      <c r="C3588" s="1" t="n">
        <v>45211</v>
      </c>
      <c r="D3588" t="inlineStr">
        <is>
          <t>ÖSTERGÖTLANDS LÄN</t>
        </is>
      </c>
      <c r="E3588" t="inlineStr">
        <is>
          <t>FINSPÅNG</t>
        </is>
      </c>
      <c r="G3588" t="n">
        <v>0.5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s="2" t="inlineStr"/>
    </row>
    <row r="3589" ht="15" customHeight="1">
      <c r="A3589" t="inlineStr">
        <is>
          <t>A 50502-2021</t>
        </is>
      </c>
      <c r="B3589" s="1" t="n">
        <v>44458</v>
      </c>
      <c r="C3589" s="1" t="n">
        <v>45211</v>
      </c>
      <c r="D3589" t="inlineStr">
        <is>
          <t>ÖSTERGÖTLANDS LÄN</t>
        </is>
      </c>
      <c r="E3589" t="inlineStr">
        <is>
          <t>ÅTVIDABERG</t>
        </is>
      </c>
      <c r="G3589" t="n">
        <v>4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s="2" t="inlineStr"/>
    </row>
    <row r="3590" ht="15" customHeight="1">
      <c r="A3590" t="inlineStr">
        <is>
          <t>A 50593-2021</t>
        </is>
      </c>
      <c r="B3590" s="1" t="n">
        <v>44459</v>
      </c>
      <c r="C3590" s="1" t="n">
        <v>45211</v>
      </c>
      <c r="D3590" t="inlineStr">
        <is>
          <t>ÖSTERGÖTLANDS LÄN</t>
        </is>
      </c>
      <c r="E3590" t="inlineStr">
        <is>
          <t>ÅTVIDABERG</t>
        </is>
      </c>
      <c r="G3590" t="n">
        <v>4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s="2" t="inlineStr"/>
    </row>
    <row r="3591" ht="15" customHeight="1">
      <c r="A3591" t="inlineStr">
        <is>
          <t>A 50386-2021</t>
        </is>
      </c>
      <c r="B3591" s="1" t="n">
        <v>44459</v>
      </c>
      <c r="C3591" s="1" t="n">
        <v>45211</v>
      </c>
      <c r="D3591" t="inlineStr">
        <is>
          <t>ÖSTERGÖTLANDS LÄN</t>
        </is>
      </c>
      <c r="E3591" t="inlineStr">
        <is>
          <t>LINKÖPING</t>
        </is>
      </c>
      <c r="G3591" t="n">
        <v>2.3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s="2" t="inlineStr"/>
    </row>
    <row r="3592" ht="15" customHeight="1">
      <c r="A3592" t="inlineStr">
        <is>
          <t>A 50558-2021</t>
        </is>
      </c>
      <c r="B3592" s="1" t="n">
        <v>44459</v>
      </c>
      <c r="C3592" s="1" t="n">
        <v>45211</v>
      </c>
      <c r="D3592" t="inlineStr">
        <is>
          <t>ÖSTERGÖTLANDS LÄN</t>
        </is>
      </c>
      <c r="E3592" t="inlineStr">
        <is>
          <t>NORRKÖPING</t>
        </is>
      </c>
      <c r="F3592" t="inlineStr">
        <is>
          <t>Holmen skog AB</t>
        </is>
      </c>
      <c r="G3592" t="n">
        <v>0.5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s="2" t="inlineStr"/>
    </row>
    <row r="3593" ht="15" customHeight="1">
      <c r="A3593" t="inlineStr">
        <is>
          <t>A 50619-2021</t>
        </is>
      </c>
      <c r="B3593" s="1" t="n">
        <v>44459</v>
      </c>
      <c r="C3593" s="1" t="n">
        <v>45211</v>
      </c>
      <c r="D3593" t="inlineStr">
        <is>
          <t>ÖSTERGÖTLANDS LÄN</t>
        </is>
      </c>
      <c r="E3593" t="inlineStr">
        <is>
          <t>SÖDERKÖPING</t>
        </is>
      </c>
      <c r="G3593" t="n">
        <v>3.3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s="2" t="inlineStr"/>
    </row>
    <row r="3594" ht="15" customHeight="1">
      <c r="A3594" t="inlineStr">
        <is>
          <t>A 50306-2021</t>
        </is>
      </c>
      <c r="B3594" s="1" t="n">
        <v>44459</v>
      </c>
      <c r="C3594" s="1" t="n">
        <v>45211</v>
      </c>
      <c r="D3594" t="inlineStr">
        <is>
          <t>ÖSTERGÖTLANDS LÄN</t>
        </is>
      </c>
      <c r="E3594" t="inlineStr">
        <is>
          <t>NORRKÖPING</t>
        </is>
      </c>
      <c r="G3594" t="n">
        <v>0.6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s="2" t="inlineStr"/>
    </row>
    <row r="3595" ht="15" customHeight="1">
      <c r="A3595" t="inlineStr">
        <is>
          <t>A 50752-2021</t>
        </is>
      </c>
      <c r="B3595" s="1" t="n">
        <v>44460</v>
      </c>
      <c r="C3595" s="1" t="n">
        <v>45211</v>
      </c>
      <c r="D3595" t="inlineStr">
        <is>
          <t>ÖSTERGÖTLANDS LÄN</t>
        </is>
      </c>
      <c r="E3595" t="inlineStr">
        <is>
          <t>KINDA</t>
        </is>
      </c>
      <c r="G3595" t="n">
        <v>3.7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s="2" t="inlineStr"/>
    </row>
    <row r="3596" ht="15" customHeight="1">
      <c r="A3596" t="inlineStr">
        <is>
          <t>A 50963-2021</t>
        </is>
      </c>
      <c r="B3596" s="1" t="n">
        <v>44460</v>
      </c>
      <c r="C3596" s="1" t="n">
        <v>45211</v>
      </c>
      <c r="D3596" t="inlineStr">
        <is>
          <t>ÖSTERGÖTLANDS LÄN</t>
        </is>
      </c>
      <c r="E3596" t="inlineStr">
        <is>
          <t>LINKÖPING</t>
        </is>
      </c>
      <c r="G3596" t="n">
        <v>4.4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s="2" t="inlineStr"/>
    </row>
    <row r="3597" ht="15" customHeight="1">
      <c r="A3597" t="inlineStr">
        <is>
          <t>A 51509-2021</t>
        </is>
      </c>
      <c r="B3597" s="1" t="n">
        <v>44460</v>
      </c>
      <c r="C3597" s="1" t="n">
        <v>45211</v>
      </c>
      <c r="D3597" t="inlineStr">
        <is>
          <t>ÖSTERGÖTLANDS LÄN</t>
        </is>
      </c>
      <c r="E3597" t="inlineStr">
        <is>
          <t>BOXHOLM</t>
        </is>
      </c>
      <c r="G3597" t="n">
        <v>0.5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s="2" t="inlineStr"/>
    </row>
    <row r="3598" ht="15" customHeight="1">
      <c r="A3598" t="inlineStr">
        <is>
          <t>A 50982-2021</t>
        </is>
      </c>
      <c r="B3598" s="1" t="n">
        <v>44460</v>
      </c>
      <c r="C3598" s="1" t="n">
        <v>45211</v>
      </c>
      <c r="D3598" t="inlineStr">
        <is>
          <t>ÖSTERGÖTLANDS LÄN</t>
        </is>
      </c>
      <c r="E3598" t="inlineStr">
        <is>
          <t>LINKÖPING</t>
        </is>
      </c>
      <c r="G3598" t="n">
        <v>2.8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s="2" t="inlineStr"/>
    </row>
    <row r="3599" ht="15" customHeight="1">
      <c r="A3599" t="inlineStr">
        <is>
          <t>A 50751-2021</t>
        </is>
      </c>
      <c r="B3599" s="1" t="n">
        <v>44460</v>
      </c>
      <c r="C3599" s="1" t="n">
        <v>45211</v>
      </c>
      <c r="D3599" t="inlineStr">
        <is>
          <t>ÖSTERGÖTLANDS LÄN</t>
        </is>
      </c>
      <c r="E3599" t="inlineStr">
        <is>
          <t>ÅTVIDABERG</t>
        </is>
      </c>
      <c r="G3599" t="n">
        <v>1.4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s="2" t="inlineStr"/>
    </row>
    <row r="3600" ht="15" customHeight="1">
      <c r="A3600" t="inlineStr">
        <is>
          <t>A 51225-2021</t>
        </is>
      </c>
      <c r="B3600" s="1" t="n">
        <v>44461</v>
      </c>
      <c r="C3600" s="1" t="n">
        <v>45211</v>
      </c>
      <c r="D3600" t="inlineStr">
        <is>
          <t>ÖSTERGÖTLANDS LÄN</t>
        </is>
      </c>
      <c r="E3600" t="inlineStr">
        <is>
          <t>YDRE</t>
        </is>
      </c>
      <c r="G3600" t="n">
        <v>6.1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s="2" t="inlineStr"/>
    </row>
    <row r="3601" ht="15" customHeight="1">
      <c r="A3601" t="inlineStr">
        <is>
          <t>A 51261-2021</t>
        </is>
      </c>
      <c r="B3601" s="1" t="n">
        <v>44461</v>
      </c>
      <c r="C3601" s="1" t="n">
        <v>45211</v>
      </c>
      <c r="D3601" t="inlineStr">
        <is>
          <t>ÖSTERGÖTLANDS LÄN</t>
        </is>
      </c>
      <c r="E3601" t="inlineStr">
        <is>
          <t>BOXHOLM</t>
        </is>
      </c>
      <c r="G3601" t="n">
        <v>0.5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s="2" t="inlineStr"/>
    </row>
    <row r="3602" ht="15" customHeight="1">
      <c r="A3602" t="inlineStr">
        <is>
          <t>A 51332-2021</t>
        </is>
      </c>
      <c r="B3602" s="1" t="n">
        <v>44461</v>
      </c>
      <c r="C3602" s="1" t="n">
        <v>45211</v>
      </c>
      <c r="D3602" t="inlineStr">
        <is>
          <t>ÖSTERGÖTLANDS LÄN</t>
        </is>
      </c>
      <c r="E3602" t="inlineStr">
        <is>
          <t>YDRE</t>
        </is>
      </c>
      <c r="G3602" t="n">
        <v>3.5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s="2" t="inlineStr"/>
    </row>
    <row r="3603" ht="15" customHeight="1">
      <c r="A3603" t="inlineStr">
        <is>
          <t>A 51633-2021</t>
        </is>
      </c>
      <c r="B3603" s="1" t="n">
        <v>44462</v>
      </c>
      <c r="C3603" s="1" t="n">
        <v>45211</v>
      </c>
      <c r="D3603" t="inlineStr">
        <is>
          <t>ÖSTERGÖTLANDS LÄN</t>
        </is>
      </c>
      <c r="E3603" t="inlineStr">
        <is>
          <t>FINSPÅNG</t>
        </is>
      </c>
      <c r="G3603" t="n">
        <v>2.1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s="2" t="inlineStr"/>
    </row>
    <row r="3604" ht="15" customHeight="1">
      <c r="A3604" t="inlineStr">
        <is>
          <t>A 51613-2021</t>
        </is>
      </c>
      <c r="B3604" s="1" t="n">
        <v>44462</v>
      </c>
      <c r="C3604" s="1" t="n">
        <v>45211</v>
      </c>
      <c r="D3604" t="inlineStr">
        <is>
          <t>ÖSTERGÖTLANDS LÄN</t>
        </is>
      </c>
      <c r="E3604" t="inlineStr">
        <is>
          <t>FINSPÅNG</t>
        </is>
      </c>
      <c r="G3604" t="n">
        <v>1.9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s="2" t="inlineStr"/>
    </row>
    <row r="3605" ht="15" customHeight="1">
      <c r="A3605" t="inlineStr">
        <is>
          <t>A 51639-2021</t>
        </is>
      </c>
      <c r="B3605" s="1" t="n">
        <v>44462</v>
      </c>
      <c r="C3605" s="1" t="n">
        <v>45211</v>
      </c>
      <c r="D3605" t="inlineStr">
        <is>
          <t>ÖSTERGÖTLANDS LÄN</t>
        </is>
      </c>
      <c r="E3605" t="inlineStr">
        <is>
          <t>MJÖLBY</t>
        </is>
      </c>
      <c r="G3605" t="n">
        <v>5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s="2" t="inlineStr"/>
    </row>
    <row r="3606" ht="15" customHeight="1">
      <c r="A3606" t="inlineStr">
        <is>
          <t>A 51836-2021</t>
        </is>
      </c>
      <c r="B3606" s="1" t="n">
        <v>44462</v>
      </c>
      <c r="C3606" s="1" t="n">
        <v>45211</v>
      </c>
      <c r="D3606" t="inlineStr">
        <is>
          <t>ÖSTERGÖTLANDS LÄN</t>
        </is>
      </c>
      <c r="E3606" t="inlineStr">
        <is>
          <t>KINDA</t>
        </is>
      </c>
      <c r="F3606" t="inlineStr">
        <is>
          <t>Övriga Aktiebolag</t>
        </is>
      </c>
      <c r="G3606" t="n">
        <v>0.6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s="2" t="inlineStr"/>
    </row>
    <row r="3607" ht="15" customHeight="1">
      <c r="A3607" t="inlineStr">
        <is>
          <t>A 51877-2021</t>
        </is>
      </c>
      <c r="B3607" s="1" t="n">
        <v>44462</v>
      </c>
      <c r="C3607" s="1" t="n">
        <v>45211</v>
      </c>
      <c r="D3607" t="inlineStr">
        <is>
          <t>ÖSTERGÖTLANDS LÄN</t>
        </is>
      </c>
      <c r="E3607" t="inlineStr">
        <is>
          <t>NORRKÖPING</t>
        </is>
      </c>
      <c r="G3607" t="n">
        <v>2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s="2" t="inlineStr"/>
    </row>
    <row r="3608" ht="15" customHeight="1">
      <c r="A3608" t="inlineStr">
        <is>
          <t>A 51704-2021</t>
        </is>
      </c>
      <c r="B3608" s="1" t="n">
        <v>44462</v>
      </c>
      <c r="C3608" s="1" t="n">
        <v>45211</v>
      </c>
      <c r="D3608" t="inlineStr">
        <is>
          <t>ÖSTERGÖTLANDS LÄN</t>
        </is>
      </c>
      <c r="E3608" t="inlineStr">
        <is>
          <t>ÅTVIDABERG</t>
        </is>
      </c>
      <c r="F3608" t="inlineStr">
        <is>
          <t>Övriga Aktiebolag</t>
        </is>
      </c>
      <c r="G3608" t="n">
        <v>1.2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s="2" t="inlineStr"/>
    </row>
    <row r="3609" ht="15" customHeight="1">
      <c r="A3609" t="inlineStr">
        <is>
          <t>A 51838-2021</t>
        </is>
      </c>
      <c r="B3609" s="1" t="n">
        <v>44462</v>
      </c>
      <c r="C3609" s="1" t="n">
        <v>45211</v>
      </c>
      <c r="D3609" t="inlineStr">
        <is>
          <t>ÖSTERGÖTLANDS LÄN</t>
        </is>
      </c>
      <c r="E3609" t="inlineStr">
        <is>
          <t>NORRKÖPING</t>
        </is>
      </c>
      <c r="G3609" t="n">
        <v>3.4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s="2" t="inlineStr"/>
    </row>
    <row r="3610" ht="15" customHeight="1">
      <c r="A3610" t="inlineStr">
        <is>
          <t>A 51881-2021</t>
        </is>
      </c>
      <c r="B3610" s="1" t="n">
        <v>44462</v>
      </c>
      <c r="C3610" s="1" t="n">
        <v>45211</v>
      </c>
      <c r="D3610" t="inlineStr">
        <is>
          <t>ÖSTERGÖTLANDS LÄN</t>
        </is>
      </c>
      <c r="E3610" t="inlineStr">
        <is>
          <t>ÅTVIDABERG</t>
        </is>
      </c>
      <c r="G3610" t="n">
        <v>3.6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s="2" t="inlineStr"/>
    </row>
    <row r="3611" ht="15" customHeight="1">
      <c r="A3611" t="inlineStr">
        <is>
          <t>A 51448-2021</t>
        </is>
      </c>
      <c r="B3611" s="1" t="n">
        <v>44462</v>
      </c>
      <c r="C3611" s="1" t="n">
        <v>45211</v>
      </c>
      <c r="D3611" t="inlineStr">
        <is>
          <t>ÖSTERGÖTLANDS LÄN</t>
        </is>
      </c>
      <c r="E3611" t="inlineStr">
        <is>
          <t>FINSPÅNG</t>
        </is>
      </c>
      <c r="G3611" t="n">
        <v>0.6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s="2" t="inlineStr"/>
    </row>
    <row r="3612" ht="15" customHeight="1">
      <c r="A3612" t="inlineStr">
        <is>
          <t>A 51642-2021</t>
        </is>
      </c>
      <c r="B3612" s="1" t="n">
        <v>44462</v>
      </c>
      <c r="C3612" s="1" t="n">
        <v>45211</v>
      </c>
      <c r="D3612" t="inlineStr">
        <is>
          <t>ÖSTERGÖTLANDS LÄN</t>
        </is>
      </c>
      <c r="E3612" t="inlineStr">
        <is>
          <t>MJÖLBY</t>
        </is>
      </c>
      <c r="G3612" t="n">
        <v>2.9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s="2" t="inlineStr"/>
    </row>
    <row r="3613" ht="15" customHeight="1">
      <c r="A3613" t="inlineStr">
        <is>
          <t>A 51808-2021</t>
        </is>
      </c>
      <c r="B3613" s="1" t="n">
        <v>44462</v>
      </c>
      <c r="C3613" s="1" t="n">
        <v>45211</v>
      </c>
      <c r="D3613" t="inlineStr">
        <is>
          <t>ÖSTERGÖTLANDS LÄN</t>
        </is>
      </c>
      <c r="E3613" t="inlineStr">
        <is>
          <t>FINSPÅNG</t>
        </is>
      </c>
      <c r="F3613" t="inlineStr">
        <is>
          <t>Sveaskog</t>
        </is>
      </c>
      <c r="G3613" t="n">
        <v>0.9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s="2" t="inlineStr"/>
    </row>
    <row r="3614" ht="15" customHeight="1">
      <c r="A3614" t="inlineStr">
        <is>
          <t>A 51882-2021</t>
        </is>
      </c>
      <c r="B3614" s="1" t="n">
        <v>44462</v>
      </c>
      <c r="C3614" s="1" t="n">
        <v>45211</v>
      </c>
      <c r="D3614" t="inlineStr">
        <is>
          <t>ÖSTERGÖTLANDS LÄN</t>
        </is>
      </c>
      <c r="E3614" t="inlineStr">
        <is>
          <t>ÅTVIDABERG</t>
        </is>
      </c>
      <c r="G3614" t="n">
        <v>1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s="2" t="inlineStr"/>
    </row>
    <row r="3615" ht="15" customHeight="1">
      <c r="A3615" t="inlineStr">
        <is>
          <t>A 53785-2021</t>
        </is>
      </c>
      <c r="B3615" s="1" t="n">
        <v>44463</v>
      </c>
      <c r="C3615" s="1" t="n">
        <v>45211</v>
      </c>
      <c r="D3615" t="inlineStr">
        <is>
          <t>ÖSTERGÖTLANDS LÄN</t>
        </is>
      </c>
      <c r="E3615" t="inlineStr">
        <is>
          <t>VALDEMARSVIK</t>
        </is>
      </c>
      <c r="F3615" t="inlineStr">
        <is>
          <t>Övriga Aktiebolag</t>
        </is>
      </c>
      <c r="G3615" t="n">
        <v>6.9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s="2" t="inlineStr"/>
    </row>
    <row r="3616" ht="15" customHeight="1">
      <c r="A3616" t="inlineStr">
        <is>
          <t>A 52206-2021</t>
        </is>
      </c>
      <c r="B3616" s="1" t="n">
        <v>44463</v>
      </c>
      <c r="C3616" s="1" t="n">
        <v>45211</v>
      </c>
      <c r="D3616" t="inlineStr">
        <is>
          <t>ÖSTERGÖTLANDS LÄN</t>
        </is>
      </c>
      <c r="E3616" t="inlineStr">
        <is>
          <t>KINDA</t>
        </is>
      </c>
      <c r="G3616" t="n">
        <v>1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s="2" t="inlineStr"/>
    </row>
    <row r="3617" ht="15" customHeight="1">
      <c r="A3617" t="inlineStr">
        <is>
          <t>A 53782-2021</t>
        </is>
      </c>
      <c r="B3617" s="1" t="n">
        <v>44463</v>
      </c>
      <c r="C3617" s="1" t="n">
        <v>45211</v>
      </c>
      <c r="D3617" t="inlineStr">
        <is>
          <t>ÖSTERGÖTLANDS LÄN</t>
        </is>
      </c>
      <c r="E3617" t="inlineStr">
        <is>
          <t>VALDEMARSVIK</t>
        </is>
      </c>
      <c r="F3617" t="inlineStr">
        <is>
          <t>Övriga Aktiebolag</t>
        </is>
      </c>
      <c r="G3617" t="n">
        <v>1.3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s="2" t="inlineStr"/>
    </row>
    <row r="3618" ht="15" customHeight="1">
      <c r="A3618" t="inlineStr">
        <is>
          <t>A 51982-2021</t>
        </is>
      </c>
      <c r="B3618" s="1" t="n">
        <v>44463</v>
      </c>
      <c r="C3618" s="1" t="n">
        <v>45211</v>
      </c>
      <c r="D3618" t="inlineStr">
        <is>
          <t>ÖSTERGÖTLANDS LÄN</t>
        </is>
      </c>
      <c r="E3618" t="inlineStr">
        <is>
          <t>FINSPÅNG</t>
        </is>
      </c>
      <c r="F3618" t="inlineStr">
        <is>
          <t>Sveaskog</t>
        </is>
      </c>
      <c r="G3618" t="n">
        <v>2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s="2" t="inlineStr"/>
    </row>
    <row r="3619" ht="15" customHeight="1">
      <c r="A3619" t="inlineStr">
        <is>
          <t>A 52223-2021</t>
        </is>
      </c>
      <c r="B3619" s="1" t="n">
        <v>44463</v>
      </c>
      <c r="C3619" s="1" t="n">
        <v>45211</v>
      </c>
      <c r="D3619" t="inlineStr">
        <is>
          <t>ÖSTERGÖTLANDS LÄN</t>
        </is>
      </c>
      <c r="E3619" t="inlineStr">
        <is>
          <t>VALDEMARSVIK</t>
        </is>
      </c>
      <c r="F3619" t="inlineStr">
        <is>
          <t>Övriga Aktiebolag</t>
        </is>
      </c>
      <c r="G3619" t="n">
        <v>10.8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s="2" t="inlineStr"/>
    </row>
    <row r="3620" ht="15" customHeight="1">
      <c r="A3620" t="inlineStr">
        <is>
          <t>A 53786-2021</t>
        </is>
      </c>
      <c r="B3620" s="1" t="n">
        <v>44463</v>
      </c>
      <c r="C3620" s="1" t="n">
        <v>45211</v>
      </c>
      <c r="D3620" t="inlineStr">
        <is>
          <t>ÖSTERGÖTLANDS LÄN</t>
        </is>
      </c>
      <c r="E3620" t="inlineStr">
        <is>
          <t>VALDEMARSVIK</t>
        </is>
      </c>
      <c r="F3620" t="inlineStr">
        <is>
          <t>Övriga Aktiebolag</t>
        </is>
      </c>
      <c r="G3620" t="n">
        <v>4.9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s="2" t="inlineStr"/>
    </row>
    <row r="3621" ht="15" customHeight="1">
      <c r="A3621" t="inlineStr">
        <is>
          <t>A 51989-2021</t>
        </is>
      </c>
      <c r="B3621" s="1" t="n">
        <v>44463</v>
      </c>
      <c r="C3621" s="1" t="n">
        <v>45211</v>
      </c>
      <c r="D3621" t="inlineStr">
        <is>
          <t>ÖSTERGÖTLANDS LÄN</t>
        </is>
      </c>
      <c r="E3621" t="inlineStr">
        <is>
          <t>FINSPÅNG</t>
        </is>
      </c>
      <c r="F3621" t="inlineStr">
        <is>
          <t>Sveaskog</t>
        </is>
      </c>
      <c r="G3621" t="n">
        <v>2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s="2" t="inlineStr"/>
    </row>
    <row r="3622" ht="15" customHeight="1">
      <c r="A3622" t="inlineStr">
        <is>
          <t>A 52207-2021</t>
        </is>
      </c>
      <c r="B3622" s="1" t="n">
        <v>44463</v>
      </c>
      <c r="C3622" s="1" t="n">
        <v>45211</v>
      </c>
      <c r="D3622" t="inlineStr">
        <is>
          <t>ÖSTERGÖTLANDS LÄN</t>
        </is>
      </c>
      <c r="E3622" t="inlineStr">
        <is>
          <t>KINDA</t>
        </is>
      </c>
      <c r="G3622" t="n">
        <v>0.6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s="2" t="inlineStr"/>
    </row>
    <row r="3623" ht="15" customHeight="1">
      <c r="A3623" t="inlineStr">
        <is>
          <t>A 52382-2021</t>
        </is>
      </c>
      <c r="B3623" s="1" t="n">
        <v>44465</v>
      </c>
      <c r="C3623" s="1" t="n">
        <v>45211</v>
      </c>
      <c r="D3623" t="inlineStr">
        <is>
          <t>ÖSTERGÖTLANDS LÄN</t>
        </is>
      </c>
      <c r="E3623" t="inlineStr">
        <is>
          <t>KINDA</t>
        </is>
      </c>
      <c r="G3623" t="n">
        <v>0.5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s="2" t="inlineStr"/>
    </row>
    <row r="3624" ht="15" customHeight="1">
      <c r="A3624" t="inlineStr">
        <is>
          <t>A 52476-2021</t>
        </is>
      </c>
      <c r="B3624" s="1" t="n">
        <v>44466</v>
      </c>
      <c r="C3624" s="1" t="n">
        <v>45211</v>
      </c>
      <c r="D3624" t="inlineStr">
        <is>
          <t>ÖSTERGÖTLANDS LÄN</t>
        </is>
      </c>
      <c r="E3624" t="inlineStr">
        <is>
          <t>ÖDESHÖG</t>
        </is>
      </c>
      <c r="F3624" t="inlineStr">
        <is>
          <t>Kyrkan</t>
        </is>
      </c>
      <c r="G3624" t="n">
        <v>0.6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s="2" t="inlineStr"/>
    </row>
    <row r="3625" ht="15" customHeight="1">
      <c r="A3625" t="inlineStr">
        <is>
          <t>A 53146-2021</t>
        </is>
      </c>
      <c r="B3625" s="1" t="n">
        <v>44466</v>
      </c>
      <c r="C3625" s="1" t="n">
        <v>45211</v>
      </c>
      <c r="D3625" t="inlineStr">
        <is>
          <t>ÖSTERGÖTLANDS LÄN</t>
        </is>
      </c>
      <c r="E3625" t="inlineStr">
        <is>
          <t>LINKÖPING</t>
        </is>
      </c>
      <c r="G3625" t="n">
        <v>1.2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s="2" t="inlineStr"/>
    </row>
    <row r="3626" ht="15" customHeight="1">
      <c r="A3626" t="inlineStr">
        <is>
          <t>A 52756-2021</t>
        </is>
      </c>
      <c r="B3626" s="1" t="n">
        <v>44467</v>
      </c>
      <c r="C3626" s="1" t="n">
        <v>45211</v>
      </c>
      <c r="D3626" t="inlineStr">
        <is>
          <t>ÖSTERGÖTLANDS LÄN</t>
        </is>
      </c>
      <c r="E3626" t="inlineStr">
        <is>
          <t>ÅTVIDABERG</t>
        </is>
      </c>
      <c r="G3626" t="n">
        <v>0.6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s="2" t="inlineStr"/>
    </row>
    <row r="3627" ht="15" customHeight="1">
      <c r="A3627" t="inlineStr">
        <is>
          <t>A 52966-2021</t>
        </is>
      </c>
      <c r="B3627" s="1" t="n">
        <v>44467</v>
      </c>
      <c r="C3627" s="1" t="n">
        <v>45211</v>
      </c>
      <c r="D3627" t="inlineStr">
        <is>
          <t>ÖSTERGÖTLANDS LÄN</t>
        </is>
      </c>
      <c r="E3627" t="inlineStr">
        <is>
          <t>LINKÖPING</t>
        </is>
      </c>
      <c r="G3627" t="n">
        <v>2.6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s="2" t="inlineStr"/>
    </row>
    <row r="3628" ht="15" customHeight="1">
      <c r="A3628" t="inlineStr">
        <is>
          <t>A 52763-2021</t>
        </is>
      </c>
      <c r="B3628" s="1" t="n">
        <v>44467</v>
      </c>
      <c r="C3628" s="1" t="n">
        <v>45211</v>
      </c>
      <c r="D3628" t="inlineStr">
        <is>
          <t>ÖSTERGÖTLANDS LÄN</t>
        </is>
      </c>
      <c r="E3628" t="inlineStr">
        <is>
          <t>ÅTVIDABERG</t>
        </is>
      </c>
      <c r="G3628" t="n">
        <v>0.5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s="2" t="inlineStr"/>
    </row>
    <row r="3629" ht="15" customHeight="1">
      <c r="A3629" t="inlineStr">
        <is>
          <t>A 52968-2021</t>
        </is>
      </c>
      <c r="B3629" s="1" t="n">
        <v>44467</v>
      </c>
      <c r="C3629" s="1" t="n">
        <v>45211</v>
      </c>
      <c r="D3629" t="inlineStr">
        <is>
          <t>ÖSTERGÖTLANDS LÄN</t>
        </is>
      </c>
      <c r="E3629" t="inlineStr">
        <is>
          <t>LINKÖPING</t>
        </is>
      </c>
      <c r="G3629" t="n">
        <v>0.5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s="2" t="inlineStr"/>
    </row>
    <row r="3630" ht="15" customHeight="1">
      <c r="A3630" t="inlineStr">
        <is>
          <t>A 53082-2021</t>
        </is>
      </c>
      <c r="B3630" s="1" t="n">
        <v>44467</v>
      </c>
      <c r="C3630" s="1" t="n">
        <v>45211</v>
      </c>
      <c r="D3630" t="inlineStr">
        <is>
          <t>ÖSTERGÖTLANDS LÄN</t>
        </is>
      </c>
      <c r="E3630" t="inlineStr">
        <is>
          <t>ÅTVIDABERG</t>
        </is>
      </c>
      <c r="G3630" t="n">
        <v>1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s="2" t="inlineStr"/>
    </row>
    <row r="3631" ht="15" customHeight="1">
      <c r="A3631" t="inlineStr">
        <is>
          <t>A 52773-2021</t>
        </is>
      </c>
      <c r="B3631" s="1" t="n">
        <v>44467</v>
      </c>
      <c r="C3631" s="1" t="n">
        <v>45211</v>
      </c>
      <c r="D3631" t="inlineStr">
        <is>
          <t>ÖSTERGÖTLANDS LÄN</t>
        </is>
      </c>
      <c r="E3631" t="inlineStr">
        <is>
          <t>ÅTVIDABERG</t>
        </is>
      </c>
      <c r="G3631" t="n">
        <v>0.8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s="2" t="inlineStr"/>
    </row>
    <row r="3632" ht="15" customHeight="1">
      <c r="A3632" t="inlineStr">
        <is>
          <t>A 52743-2021</t>
        </is>
      </c>
      <c r="B3632" s="1" t="n">
        <v>44467</v>
      </c>
      <c r="C3632" s="1" t="n">
        <v>45211</v>
      </c>
      <c r="D3632" t="inlineStr">
        <is>
          <t>ÖSTERGÖTLANDS LÄN</t>
        </is>
      </c>
      <c r="E3632" t="inlineStr">
        <is>
          <t>ÅTVIDABERG</t>
        </is>
      </c>
      <c r="G3632" t="n">
        <v>0.5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s="2" t="inlineStr"/>
    </row>
    <row r="3633" ht="15" customHeight="1">
      <c r="A3633" t="inlineStr">
        <is>
          <t>A 52776-2021</t>
        </is>
      </c>
      <c r="B3633" s="1" t="n">
        <v>44467</v>
      </c>
      <c r="C3633" s="1" t="n">
        <v>45211</v>
      </c>
      <c r="D3633" t="inlineStr">
        <is>
          <t>ÖSTERGÖTLANDS LÄN</t>
        </is>
      </c>
      <c r="E3633" t="inlineStr">
        <is>
          <t>ÅTVIDABERG</t>
        </is>
      </c>
      <c r="G3633" t="n">
        <v>0.7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s="2" t="inlineStr"/>
    </row>
    <row r="3634" ht="15" customHeight="1">
      <c r="A3634" t="inlineStr">
        <is>
          <t>A 53360-2021</t>
        </is>
      </c>
      <c r="B3634" s="1" t="n">
        <v>44468</v>
      </c>
      <c r="C3634" s="1" t="n">
        <v>45211</v>
      </c>
      <c r="D3634" t="inlineStr">
        <is>
          <t>ÖSTERGÖTLANDS LÄN</t>
        </is>
      </c>
      <c r="E3634" t="inlineStr">
        <is>
          <t>YDRE</t>
        </is>
      </c>
      <c r="F3634" t="inlineStr">
        <is>
          <t>Kyrkan</t>
        </is>
      </c>
      <c r="G3634" t="n">
        <v>2.2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s="2" t="inlineStr"/>
    </row>
    <row r="3635" ht="15" customHeight="1">
      <c r="A3635" t="inlineStr">
        <is>
          <t>A 53444-2021</t>
        </is>
      </c>
      <c r="B3635" s="1" t="n">
        <v>44468</v>
      </c>
      <c r="C3635" s="1" t="n">
        <v>45211</v>
      </c>
      <c r="D3635" t="inlineStr">
        <is>
          <t>ÖSTERGÖTLANDS LÄN</t>
        </is>
      </c>
      <c r="E3635" t="inlineStr">
        <is>
          <t>NORRKÖPING</t>
        </is>
      </c>
      <c r="F3635" t="inlineStr">
        <is>
          <t>Holmen skog AB</t>
        </is>
      </c>
      <c r="G3635" t="n">
        <v>1.7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s="2" t="inlineStr"/>
    </row>
    <row r="3636" ht="15" customHeight="1">
      <c r="A3636" t="inlineStr">
        <is>
          <t>A 53177-2021</t>
        </is>
      </c>
      <c r="B3636" s="1" t="n">
        <v>44468</v>
      </c>
      <c r="C3636" s="1" t="n">
        <v>45211</v>
      </c>
      <c r="D3636" t="inlineStr">
        <is>
          <t>ÖSTERGÖTLANDS LÄN</t>
        </is>
      </c>
      <c r="E3636" t="inlineStr">
        <is>
          <t>NORRKÖPING</t>
        </is>
      </c>
      <c r="F3636" t="inlineStr">
        <is>
          <t>Holmen skog AB</t>
        </is>
      </c>
      <c r="G3636" t="n">
        <v>1.9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s="2" t="inlineStr"/>
    </row>
    <row r="3637" ht="15" customHeight="1">
      <c r="A3637" t="inlineStr">
        <is>
          <t>A 53574-2021</t>
        </is>
      </c>
      <c r="B3637" s="1" t="n">
        <v>44468</v>
      </c>
      <c r="C3637" s="1" t="n">
        <v>45211</v>
      </c>
      <c r="D3637" t="inlineStr">
        <is>
          <t>ÖSTERGÖTLANDS LÄN</t>
        </is>
      </c>
      <c r="E3637" t="inlineStr">
        <is>
          <t>MOTALA</t>
        </is>
      </c>
      <c r="G3637" t="n">
        <v>6.4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s="2" t="inlineStr"/>
    </row>
    <row r="3638" ht="15" customHeight="1">
      <c r="A3638" t="inlineStr">
        <is>
          <t>A 53741-2021</t>
        </is>
      </c>
      <c r="B3638" s="1" t="n">
        <v>44469</v>
      </c>
      <c r="C3638" s="1" t="n">
        <v>45211</v>
      </c>
      <c r="D3638" t="inlineStr">
        <is>
          <t>ÖSTERGÖTLANDS LÄN</t>
        </is>
      </c>
      <c r="E3638" t="inlineStr">
        <is>
          <t>FINSPÅNG</t>
        </is>
      </c>
      <c r="G3638" t="n">
        <v>1.9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s="2" t="inlineStr"/>
    </row>
    <row r="3639" ht="15" customHeight="1">
      <c r="A3639" t="inlineStr">
        <is>
          <t>A 53892-2021</t>
        </is>
      </c>
      <c r="B3639" s="1" t="n">
        <v>44469</v>
      </c>
      <c r="C3639" s="1" t="n">
        <v>45211</v>
      </c>
      <c r="D3639" t="inlineStr">
        <is>
          <t>ÖSTERGÖTLANDS LÄN</t>
        </is>
      </c>
      <c r="E3639" t="inlineStr">
        <is>
          <t>KINDA</t>
        </is>
      </c>
      <c r="G3639" t="n">
        <v>0.7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s="2" t="inlineStr"/>
    </row>
    <row r="3640" ht="15" customHeight="1">
      <c r="A3640" t="inlineStr">
        <is>
          <t>A 53545-2021</t>
        </is>
      </c>
      <c r="B3640" s="1" t="n">
        <v>44469</v>
      </c>
      <c r="C3640" s="1" t="n">
        <v>45211</v>
      </c>
      <c r="D3640" t="inlineStr">
        <is>
          <t>ÖSTERGÖTLANDS LÄN</t>
        </is>
      </c>
      <c r="E3640" t="inlineStr">
        <is>
          <t>FINSPÅNG</t>
        </is>
      </c>
      <c r="G3640" t="n">
        <v>0.5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s="2" t="inlineStr"/>
    </row>
    <row r="3641" ht="15" customHeight="1">
      <c r="A3641" t="inlineStr">
        <is>
          <t>A 53660-2021</t>
        </is>
      </c>
      <c r="B3641" s="1" t="n">
        <v>44469</v>
      </c>
      <c r="C3641" s="1" t="n">
        <v>45211</v>
      </c>
      <c r="D3641" t="inlineStr">
        <is>
          <t>ÖSTERGÖTLANDS LÄN</t>
        </is>
      </c>
      <c r="E3641" t="inlineStr">
        <is>
          <t>LINKÖPING</t>
        </is>
      </c>
      <c r="G3641" t="n">
        <v>2.6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s="2" t="inlineStr"/>
    </row>
    <row r="3642" ht="15" customHeight="1">
      <c r="A3642" t="inlineStr">
        <is>
          <t>A 53669-2021</t>
        </is>
      </c>
      <c r="B3642" s="1" t="n">
        <v>44469</v>
      </c>
      <c r="C3642" s="1" t="n">
        <v>45211</v>
      </c>
      <c r="D3642" t="inlineStr">
        <is>
          <t>ÖSTERGÖTLANDS LÄN</t>
        </is>
      </c>
      <c r="E3642" t="inlineStr">
        <is>
          <t>MOTALA</t>
        </is>
      </c>
      <c r="G3642" t="n">
        <v>2.1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s="2" t="inlineStr"/>
    </row>
    <row r="3643" ht="15" customHeight="1">
      <c r="A3643" t="inlineStr">
        <is>
          <t>A 53888-2021</t>
        </is>
      </c>
      <c r="B3643" s="1" t="n">
        <v>44469</v>
      </c>
      <c r="C3643" s="1" t="n">
        <v>45211</v>
      </c>
      <c r="D3643" t="inlineStr">
        <is>
          <t>ÖSTERGÖTLANDS LÄN</t>
        </is>
      </c>
      <c r="E3643" t="inlineStr">
        <is>
          <t>KINDA</t>
        </is>
      </c>
      <c r="G3643" t="n">
        <v>1.9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s="2" t="inlineStr"/>
    </row>
    <row r="3644" ht="15" customHeight="1">
      <c r="A3644" t="inlineStr">
        <is>
          <t>A 53904-2021</t>
        </is>
      </c>
      <c r="B3644" s="1" t="n">
        <v>44469</v>
      </c>
      <c r="C3644" s="1" t="n">
        <v>45211</v>
      </c>
      <c r="D3644" t="inlineStr">
        <is>
          <t>ÖSTERGÖTLANDS LÄN</t>
        </is>
      </c>
      <c r="E3644" t="inlineStr">
        <is>
          <t>SÖDERKÖPING</t>
        </is>
      </c>
      <c r="G3644" t="n">
        <v>2.8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s="2" t="inlineStr"/>
    </row>
    <row r="3645" ht="15" customHeight="1">
      <c r="A3645" t="inlineStr">
        <is>
          <t>A 53746-2021</t>
        </is>
      </c>
      <c r="B3645" s="1" t="n">
        <v>44469</v>
      </c>
      <c r="C3645" s="1" t="n">
        <v>45211</v>
      </c>
      <c r="D3645" t="inlineStr">
        <is>
          <t>ÖSTERGÖTLANDS LÄN</t>
        </is>
      </c>
      <c r="E3645" t="inlineStr">
        <is>
          <t>FINSPÅNG</t>
        </is>
      </c>
      <c r="G3645" t="n">
        <v>0.5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s="2" t="inlineStr"/>
    </row>
    <row r="3646" ht="15" customHeight="1">
      <c r="A3646" t="inlineStr">
        <is>
          <t>A 53900-2021</t>
        </is>
      </c>
      <c r="B3646" s="1" t="n">
        <v>44469</v>
      </c>
      <c r="C3646" s="1" t="n">
        <v>45211</v>
      </c>
      <c r="D3646" t="inlineStr">
        <is>
          <t>ÖSTERGÖTLANDS LÄN</t>
        </is>
      </c>
      <c r="E3646" t="inlineStr">
        <is>
          <t>NORRKÖPING</t>
        </is>
      </c>
      <c r="G3646" t="n">
        <v>1.4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s="2" t="inlineStr"/>
    </row>
    <row r="3647" ht="15" customHeight="1">
      <c r="A3647" t="inlineStr">
        <is>
          <t>A 53647-2021</t>
        </is>
      </c>
      <c r="B3647" s="1" t="n">
        <v>44469</v>
      </c>
      <c r="C3647" s="1" t="n">
        <v>45211</v>
      </c>
      <c r="D3647" t="inlineStr">
        <is>
          <t>ÖSTERGÖTLANDS LÄN</t>
        </is>
      </c>
      <c r="E3647" t="inlineStr">
        <is>
          <t>LINKÖPING</t>
        </is>
      </c>
      <c r="G3647" t="n">
        <v>2.3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s="2" t="inlineStr"/>
    </row>
    <row r="3648" ht="15" customHeight="1">
      <c r="A3648" t="inlineStr">
        <is>
          <t>A 53899-2021</t>
        </is>
      </c>
      <c r="B3648" s="1" t="n">
        <v>44469</v>
      </c>
      <c r="C3648" s="1" t="n">
        <v>45211</v>
      </c>
      <c r="D3648" t="inlineStr">
        <is>
          <t>ÖSTERGÖTLANDS LÄN</t>
        </is>
      </c>
      <c r="E3648" t="inlineStr">
        <is>
          <t>NORRKÖPING</t>
        </is>
      </c>
      <c r="G3648" t="n">
        <v>3.1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s="2" t="inlineStr"/>
    </row>
    <row r="3649" ht="15" customHeight="1">
      <c r="A3649" t="inlineStr">
        <is>
          <t>A 53909-2021</t>
        </is>
      </c>
      <c r="B3649" s="1" t="n">
        <v>44469</v>
      </c>
      <c r="C3649" s="1" t="n">
        <v>45211</v>
      </c>
      <c r="D3649" t="inlineStr">
        <is>
          <t>ÖSTERGÖTLANDS LÄN</t>
        </is>
      </c>
      <c r="E3649" t="inlineStr">
        <is>
          <t>YDRE</t>
        </is>
      </c>
      <c r="G3649" t="n">
        <v>1.9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s="2" t="inlineStr"/>
    </row>
    <row r="3650" ht="15" customHeight="1">
      <c r="A3650" t="inlineStr">
        <is>
          <t>A 54444-2021</t>
        </is>
      </c>
      <c r="B3650" s="1" t="n">
        <v>44473</v>
      </c>
      <c r="C3650" s="1" t="n">
        <v>45211</v>
      </c>
      <c r="D3650" t="inlineStr">
        <is>
          <t>ÖSTERGÖTLANDS LÄN</t>
        </is>
      </c>
      <c r="E3650" t="inlineStr">
        <is>
          <t>MJÖLBY</t>
        </is>
      </c>
      <c r="G3650" t="n">
        <v>1.3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s="2" t="inlineStr"/>
    </row>
    <row r="3651" ht="15" customHeight="1">
      <c r="A3651" t="inlineStr">
        <is>
          <t>A 54609-2021</t>
        </is>
      </c>
      <c r="B3651" s="1" t="n">
        <v>44473</v>
      </c>
      <c r="C3651" s="1" t="n">
        <v>45211</v>
      </c>
      <c r="D3651" t="inlineStr">
        <is>
          <t>ÖSTERGÖTLANDS LÄN</t>
        </is>
      </c>
      <c r="E3651" t="inlineStr">
        <is>
          <t>FINSPÅNG</t>
        </is>
      </c>
      <c r="F3651" t="inlineStr">
        <is>
          <t>Sveaskog</t>
        </is>
      </c>
      <c r="G3651" t="n">
        <v>1.5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s="2" t="inlineStr"/>
    </row>
    <row r="3652" ht="15" customHeight="1">
      <c r="A3652" t="inlineStr">
        <is>
          <t>A 54959-2021</t>
        </is>
      </c>
      <c r="B3652" s="1" t="n">
        <v>44474</v>
      </c>
      <c r="C3652" s="1" t="n">
        <v>45211</v>
      </c>
      <c r="D3652" t="inlineStr">
        <is>
          <t>ÖSTERGÖTLANDS LÄN</t>
        </is>
      </c>
      <c r="E3652" t="inlineStr">
        <is>
          <t>SÖDERKÖPING</t>
        </is>
      </c>
      <c r="G3652" t="n">
        <v>0.8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s="2" t="inlineStr"/>
    </row>
    <row r="3653" ht="15" customHeight="1">
      <c r="A3653" t="inlineStr">
        <is>
          <t>A 55119-2021</t>
        </is>
      </c>
      <c r="B3653" s="1" t="n">
        <v>44474</v>
      </c>
      <c r="C3653" s="1" t="n">
        <v>45211</v>
      </c>
      <c r="D3653" t="inlineStr">
        <is>
          <t>ÖSTERGÖTLANDS LÄN</t>
        </is>
      </c>
      <c r="E3653" t="inlineStr">
        <is>
          <t>MOTALA</t>
        </is>
      </c>
      <c r="G3653" t="n">
        <v>0.9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s="2" t="inlineStr"/>
    </row>
    <row r="3654" ht="15" customHeight="1">
      <c r="A3654" t="inlineStr">
        <is>
          <t>A 55078-2021</t>
        </is>
      </c>
      <c r="B3654" s="1" t="n">
        <v>44474</v>
      </c>
      <c r="C3654" s="1" t="n">
        <v>45211</v>
      </c>
      <c r="D3654" t="inlineStr">
        <is>
          <t>ÖSTERGÖTLANDS LÄN</t>
        </is>
      </c>
      <c r="E3654" t="inlineStr">
        <is>
          <t>YDRE</t>
        </is>
      </c>
      <c r="G3654" t="n">
        <v>3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s="2" t="inlineStr"/>
    </row>
    <row r="3655" ht="15" customHeight="1">
      <c r="A3655" t="inlineStr">
        <is>
          <t>A 54961-2021</t>
        </is>
      </c>
      <c r="B3655" s="1" t="n">
        <v>44474</v>
      </c>
      <c r="C3655" s="1" t="n">
        <v>45211</v>
      </c>
      <c r="D3655" t="inlineStr">
        <is>
          <t>ÖSTERGÖTLANDS LÄN</t>
        </is>
      </c>
      <c r="E3655" t="inlineStr">
        <is>
          <t>SÖDERKÖPING</t>
        </is>
      </c>
      <c r="G3655" t="n">
        <v>1.2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s="2" t="inlineStr"/>
    </row>
    <row r="3656" ht="15" customHeight="1">
      <c r="A3656" t="inlineStr">
        <is>
          <t>A 55494-2021</t>
        </is>
      </c>
      <c r="B3656" s="1" t="n">
        <v>44475</v>
      </c>
      <c r="C3656" s="1" t="n">
        <v>45211</v>
      </c>
      <c r="D3656" t="inlineStr">
        <is>
          <t>ÖSTERGÖTLANDS LÄN</t>
        </is>
      </c>
      <c r="E3656" t="inlineStr">
        <is>
          <t>NORRKÖPING</t>
        </is>
      </c>
      <c r="G3656" t="n">
        <v>1.8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s="2" t="inlineStr"/>
    </row>
    <row r="3657" ht="15" customHeight="1">
      <c r="A3657" t="inlineStr">
        <is>
          <t>A 55412-2021</t>
        </is>
      </c>
      <c r="B3657" s="1" t="n">
        <v>44475</v>
      </c>
      <c r="C3657" s="1" t="n">
        <v>45211</v>
      </c>
      <c r="D3657" t="inlineStr">
        <is>
          <t>ÖSTERGÖTLANDS LÄN</t>
        </is>
      </c>
      <c r="E3657" t="inlineStr">
        <is>
          <t>NORRKÖPING</t>
        </is>
      </c>
      <c r="G3657" t="n">
        <v>3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s="2" t="inlineStr"/>
    </row>
    <row r="3658" ht="15" customHeight="1">
      <c r="A3658" t="inlineStr">
        <is>
          <t>A 55429-2021</t>
        </is>
      </c>
      <c r="B3658" s="1" t="n">
        <v>44475</v>
      </c>
      <c r="C3658" s="1" t="n">
        <v>45211</v>
      </c>
      <c r="D3658" t="inlineStr">
        <is>
          <t>ÖSTERGÖTLANDS LÄN</t>
        </is>
      </c>
      <c r="E3658" t="inlineStr">
        <is>
          <t>NORRKÖPING</t>
        </is>
      </c>
      <c r="G3658" t="n">
        <v>1.3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s="2" t="inlineStr"/>
    </row>
    <row r="3659" ht="15" customHeight="1">
      <c r="A3659" t="inlineStr">
        <is>
          <t>A 55441-2021</t>
        </is>
      </c>
      <c r="B3659" s="1" t="n">
        <v>44475</v>
      </c>
      <c r="C3659" s="1" t="n">
        <v>45211</v>
      </c>
      <c r="D3659" t="inlineStr">
        <is>
          <t>ÖSTERGÖTLANDS LÄN</t>
        </is>
      </c>
      <c r="E3659" t="inlineStr">
        <is>
          <t>MOTALA</t>
        </is>
      </c>
      <c r="G3659" t="n">
        <v>2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s="2" t="inlineStr"/>
    </row>
    <row r="3660" ht="15" customHeight="1">
      <c r="A3660" t="inlineStr">
        <is>
          <t>A 55574-2021</t>
        </is>
      </c>
      <c r="B3660" s="1" t="n">
        <v>44475</v>
      </c>
      <c r="C3660" s="1" t="n">
        <v>45211</v>
      </c>
      <c r="D3660" t="inlineStr">
        <is>
          <t>ÖSTERGÖTLANDS LÄN</t>
        </is>
      </c>
      <c r="E3660" t="inlineStr">
        <is>
          <t>FINSPÅNG</t>
        </is>
      </c>
      <c r="F3660" t="inlineStr">
        <is>
          <t>Övriga Aktiebolag</t>
        </is>
      </c>
      <c r="G3660" t="n">
        <v>4.5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s="2" t="inlineStr"/>
    </row>
    <row r="3661" ht="15" customHeight="1">
      <c r="A3661" t="inlineStr">
        <is>
          <t>A 55345-2021</t>
        </is>
      </c>
      <c r="B3661" s="1" t="n">
        <v>44475</v>
      </c>
      <c r="C3661" s="1" t="n">
        <v>45211</v>
      </c>
      <c r="D3661" t="inlineStr">
        <is>
          <t>ÖSTERGÖTLANDS LÄN</t>
        </is>
      </c>
      <c r="E3661" t="inlineStr">
        <is>
          <t>LINKÖPING</t>
        </is>
      </c>
      <c r="G3661" t="n">
        <v>5.7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s="2" t="inlineStr"/>
    </row>
    <row r="3662" ht="15" customHeight="1">
      <c r="A3662" t="inlineStr">
        <is>
          <t>A 55731-2021</t>
        </is>
      </c>
      <c r="B3662" s="1" t="n">
        <v>44476</v>
      </c>
      <c r="C3662" s="1" t="n">
        <v>45211</v>
      </c>
      <c r="D3662" t="inlineStr">
        <is>
          <t>ÖSTERGÖTLANDS LÄN</t>
        </is>
      </c>
      <c r="E3662" t="inlineStr">
        <is>
          <t>FINSPÅNG</t>
        </is>
      </c>
      <c r="G3662" t="n">
        <v>4.7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s="2" t="inlineStr"/>
    </row>
    <row r="3663" ht="15" customHeight="1">
      <c r="A3663" t="inlineStr">
        <is>
          <t>A 55812-2021</t>
        </is>
      </c>
      <c r="B3663" s="1" t="n">
        <v>44476</v>
      </c>
      <c r="C3663" s="1" t="n">
        <v>45211</v>
      </c>
      <c r="D3663" t="inlineStr">
        <is>
          <t>ÖSTERGÖTLANDS LÄN</t>
        </is>
      </c>
      <c r="E3663" t="inlineStr">
        <is>
          <t>FINSPÅNG</t>
        </is>
      </c>
      <c r="G3663" t="n">
        <v>4.5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s="2" t="inlineStr"/>
    </row>
    <row r="3664" ht="15" customHeight="1">
      <c r="A3664" t="inlineStr">
        <is>
          <t>A 55860-2021</t>
        </is>
      </c>
      <c r="B3664" s="1" t="n">
        <v>44476</v>
      </c>
      <c r="C3664" s="1" t="n">
        <v>45211</v>
      </c>
      <c r="D3664" t="inlineStr">
        <is>
          <t>ÖSTERGÖTLANDS LÄN</t>
        </is>
      </c>
      <c r="E3664" t="inlineStr">
        <is>
          <t>LINKÖPING</t>
        </is>
      </c>
      <c r="G3664" t="n">
        <v>1.6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s="2" t="inlineStr"/>
    </row>
    <row r="3665" ht="15" customHeight="1">
      <c r="A3665" t="inlineStr">
        <is>
          <t>A 55815-2021</t>
        </is>
      </c>
      <c r="B3665" s="1" t="n">
        <v>44476</v>
      </c>
      <c r="C3665" s="1" t="n">
        <v>45211</v>
      </c>
      <c r="D3665" t="inlineStr">
        <is>
          <t>ÖSTERGÖTLANDS LÄN</t>
        </is>
      </c>
      <c r="E3665" t="inlineStr">
        <is>
          <t>FINSPÅNG</t>
        </is>
      </c>
      <c r="G3665" t="n">
        <v>3.2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s="2" t="inlineStr"/>
    </row>
    <row r="3666" ht="15" customHeight="1">
      <c r="A3666" t="inlineStr">
        <is>
          <t>A 55620-2021</t>
        </is>
      </c>
      <c r="B3666" s="1" t="n">
        <v>44476</v>
      </c>
      <c r="C3666" s="1" t="n">
        <v>45211</v>
      </c>
      <c r="D3666" t="inlineStr">
        <is>
          <t>ÖSTERGÖTLANDS LÄN</t>
        </is>
      </c>
      <c r="E3666" t="inlineStr">
        <is>
          <t>FINSPÅNG</t>
        </is>
      </c>
      <c r="G3666" t="n">
        <v>1.6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s="2" t="inlineStr"/>
    </row>
    <row r="3667" ht="15" customHeight="1">
      <c r="A3667" t="inlineStr">
        <is>
          <t>A 55761-2021</t>
        </is>
      </c>
      <c r="B3667" s="1" t="n">
        <v>44476</v>
      </c>
      <c r="C3667" s="1" t="n">
        <v>45211</v>
      </c>
      <c r="D3667" t="inlineStr">
        <is>
          <t>ÖSTERGÖTLANDS LÄN</t>
        </is>
      </c>
      <c r="E3667" t="inlineStr">
        <is>
          <t>YDRE</t>
        </is>
      </c>
      <c r="F3667" t="inlineStr">
        <is>
          <t>Sveaskog</t>
        </is>
      </c>
      <c r="G3667" t="n">
        <v>0.9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s="2" t="inlineStr"/>
    </row>
    <row r="3668" ht="15" customHeight="1">
      <c r="A3668" t="inlineStr">
        <is>
          <t>A 55744-2021</t>
        </is>
      </c>
      <c r="B3668" s="1" t="n">
        <v>44476</v>
      </c>
      <c r="C3668" s="1" t="n">
        <v>45211</v>
      </c>
      <c r="D3668" t="inlineStr">
        <is>
          <t>ÖSTERGÖTLANDS LÄN</t>
        </is>
      </c>
      <c r="E3668" t="inlineStr">
        <is>
          <t>FINSPÅNG</t>
        </is>
      </c>
      <c r="G3668" t="n">
        <v>1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s="2" t="inlineStr"/>
    </row>
    <row r="3669" ht="15" customHeight="1">
      <c r="A3669" t="inlineStr">
        <is>
          <t>A 56187-2021</t>
        </is>
      </c>
      <c r="B3669" s="1" t="n">
        <v>44477</v>
      </c>
      <c r="C3669" s="1" t="n">
        <v>45211</v>
      </c>
      <c r="D3669" t="inlineStr">
        <is>
          <t>ÖSTERGÖTLANDS LÄN</t>
        </is>
      </c>
      <c r="E3669" t="inlineStr">
        <is>
          <t>BOXHOLM</t>
        </is>
      </c>
      <c r="G3669" t="n">
        <v>2.7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s="2" t="inlineStr"/>
    </row>
    <row r="3670" ht="15" customHeight="1">
      <c r="A3670" t="inlineStr">
        <is>
          <t>A 56425-2021</t>
        </is>
      </c>
      <c r="B3670" s="1" t="n">
        <v>44477</v>
      </c>
      <c r="C3670" s="1" t="n">
        <v>45211</v>
      </c>
      <c r="D3670" t="inlineStr">
        <is>
          <t>ÖSTERGÖTLANDS LÄN</t>
        </is>
      </c>
      <c r="E3670" t="inlineStr">
        <is>
          <t>BOXHOLM</t>
        </is>
      </c>
      <c r="G3670" t="n">
        <v>1.3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s="2" t="inlineStr"/>
    </row>
    <row r="3671" ht="15" customHeight="1">
      <c r="A3671" t="inlineStr">
        <is>
          <t>A 56341-2021</t>
        </is>
      </c>
      <c r="B3671" s="1" t="n">
        <v>44477</v>
      </c>
      <c r="C3671" s="1" t="n">
        <v>45211</v>
      </c>
      <c r="D3671" t="inlineStr">
        <is>
          <t>ÖSTERGÖTLANDS LÄN</t>
        </is>
      </c>
      <c r="E3671" t="inlineStr">
        <is>
          <t>YDRE</t>
        </is>
      </c>
      <c r="G3671" t="n">
        <v>1.2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s="2" t="inlineStr"/>
    </row>
    <row r="3672" ht="15" customHeight="1">
      <c r="A3672" t="inlineStr">
        <is>
          <t>A 56423-2021</t>
        </is>
      </c>
      <c r="B3672" s="1" t="n">
        <v>44477</v>
      </c>
      <c r="C3672" s="1" t="n">
        <v>45211</v>
      </c>
      <c r="D3672" t="inlineStr">
        <is>
          <t>ÖSTERGÖTLANDS LÄN</t>
        </is>
      </c>
      <c r="E3672" t="inlineStr">
        <is>
          <t>BOXHOLM</t>
        </is>
      </c>
      <c r="G3672" t="n">
        <v>1.2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s="2" t="inlineStr"/>
    </row>
    <row r="3673" ht="15" customHeight="1">
      <c r="A3673" t="inlineStr">
        <is>
          <t>A 56240-2021</t>
        </is>
      </c>
      <c r="B3673" s="1" t="n">
        <v>44478</v>
      </c>
      <c r="C3673" s="1" t="n">
        <v>45211</v>
      </c>
      <c r="D3673" t="inlineStr">
        <is>
          <t>ÖSTERGÖTLANDS LÄN</t>
        </is>
      </c>
      <c r="E3673" t="inlineStr">
        <is>
          <t>LINKÖPING</t>
        </is>
      </c>
      <c r="F3673" t="inlineStr">
        <is>
          <t>Övriga Aktiebolag</t>
        </is>
      </c>
      <c r="G3673" t="n">
        <v>0.6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s="2" t="inlineStr"/>
    </row>
    <row r="3674" ht="15" customHeight="1">
      <c r="A3674" t="inlineStr">
        <is>
          <t>A 56239-2021</t>
        </is>
      </c>
      <c r="B3674" s="1" t="n">
        <v>44478</v>
      </c>
      <c r="C3674" s="1" t="n">
        <v>45211</v>
      </c>
      <c r="D3674" t="inlineStr">
        <is>
          <t>ÖSTERGÖTLANDS LÄN</t>
        </is>
      </c>
      <c r="E3674" t="inlineStr">
        <is>
          <t>LINKÖPING</t>
        </is>
      </c>
      <c r="F3674" t="inlineStr">
        <is>
          <t>Övriga Aktiebolag</t>
        </is>
      </c>
      <c r="G3674" t="n">
        <v>3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s="2" t="inlineStr"/>
    </row>
    <row r="3675" ht="15" customHeight="1">
      <c r="A3675" t="inlineStr">
        <is>
          <t>A 56270-2021</t>
        </is>
      </c>
      <c r="B3675" s="1" t="n">
        <v>44479</v>
      </c>
      <c r="C3675" s="1" t="n">
        <v>45211</v>
      </c>
      <c r="D3675" t="inlineStr">
        <is>
          <t>ÖSTERGÖTLANDS LÄN</t>
        </is>
      </c>
      <c r="E3675" t="inlineStr">
        <is>
          <t>ÅTVIDABERG</t>
        </is>
      </c>
      <c r="G3675" t="n">
        <v>1.3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s="2" t="inlineStr"/>
    </row>
    <row r="3676" ht="15" customHeight="1">
      <c r="A3676" t="inlineStr">
        <is>
          <t>A 56255-2021</t>
        </is>
      </c>
      <c r="B3676" s="1" t="n">
        <v>44479</v>
      </c>
      <c r="C3676" s="1" t="n">
        <v>45211</v>
      </c>
      <c r="D3676" t="inlineStr">
        <is>
          <t>ÖSTERGÖTLANDS LÄN</t>
        </is>
      </c>
      <c r="E3676" t="inlineStr">
        <is>
          <t>ÅTVIDABERG</t>
        </is>
      </c>
      <c r="G3676" t="n">
        <v>3.5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s="2" t="inlineStr"/>
    </row>
    <row r="3677" ht="15" customHeight="1">
      <c r="A3677" t="inlineStr">
        <is>
          <t>A 56262-2021</t>
        </is>
      </c>
      <c r="B3677" s="1" t="n">
        <v>44479</v>
      </c>
      <c r="C3677" s="1" t="n">
        <v>45211</v>
      </c>
      <c r="D3677" t="inlineStr">
        <is>
          <t>ÖSTERGÖTLANDS LÄN</t>
        </is>
      </c>
      <c r="E3677" t="inlineStr">
        <is>
          <t>ÅTVIDABERG</t>
        </is>
      </c>
      <c r="G3677" t="n">
        <v>0.5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s="2" t="inlineStr"/>
    </row>
    <row r="3678" ht="15" customHeight="1">
      <c r="A3678" t="inlineStr">
        <is>
          <t>A 56587-2021</t>
        </is>
      </c>
      <c r="B3678" s="1" t="n">
        <v>44480</v>
      </c>
      <c r="C3678" s="1" t="n">
        <v>45211</v>
      </c>
      <c r="D3678" t="inlineStr">
        <is>
          <t>ÖSTERGÖTLANDS LÄN</t>
        </is>
      </c>
      <c r="E3678" t="inlineStr">
        <is>
          <t>SÖDERKÖPING</t>
        </is>
      </c>
      <c r="G3678" t="n">
        <v>0.5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s="2" t="inlineStr"/>
    </row>
    <row r="3679" ht="15" customHeight="1">
      <c r="A3679" t="inlineStr">
        <is>
          <t>A 56323-2021</t>
        </is>
      </c>
      <c r="B3679" s="1" t="n">
        <v>44480</v>
      </c>
      <c r="C3679" s="1" t="n">
        <v>45211</v>
      </c>
      <c r="D3679" t="inlineStr">
        <is>
          <t>ÖSTERGÖTLANDS LÄN</t>
        </is>
      </c>
      <c r="E3679" t="inlineStr">
        <is>
          <t>YDRE</t>
        </is>
      </c>
      <c r="F3679" t="inlineStr">
        <is>
          <t>Sveaskog</t>
        </is>
      </c>
      <c r="G3679" t="n">
        <v>4.6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s="2" t="inlineStr"/>
      <c r="U3679">
        <f>HYPERLINK("https://klasma.github.io/Logging_0512/knärot/A 56323-2021.png", "A 56323-2021")</f>
        <v/>
      </c>
      <c r="V3679">
        <f>HYPERLINK("https://klasma.github.io/Logging_0512/klagomål/A 56323-2021.docx", "A 56323-2021")</f>
        <v/>
      </c>
      <c r="W3679">
        <f>HYPERLINK("https://klasma.github.io/Logging_0512/klagomålsmail/A 56323-2021.docx", "A 56323-2021")</f>
        <v/>
      </c>
      <c r="X3679">
        <f>HYPERLINK("https://klasma.github.io/Logging_0512/tillsyn/A 56323-2021.docx", "A 56323-2021")</f>
        <v/>
      </c>
      <c r="Y3679">
        <f>HYPERLINK("https://klasma.github.io/Logging_0512/tillsynsmail/A 56323-2021.docx", "A 56323-2021")</f>
        <v/>
      </c>
    </row>
    <row r="3680" ht="15" customHeight="1">
      <c r="A3680" t="inlineStr">
        <is>
          <t>A 56458-2021</t>
        </is>
      </c>
      <c r="B3680" s="1" t="n">
        <v>44480</v>
      </c>
      <c r="C3680" s="1" t="n">
        <v>45211</v>
      </c>
      <c r="D3680" t="inlineStr">
        <is>
          <t>ÖSTERGÖTLANDS LÄN</t>
        </is>
      </c>
      <c r="E3680" t="inlineStr">
        <is>
          <t>MJÖLBY</t>
        </is>
      </c>
      <c r="G3680" t="n">
        <v>0.7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s="2" t="inlineStr"/>
    </row>
    <row r="3681" ht="15" customHeight="1">
      <c r="A3681" t="inlineStr">
        <is>
          <t>A 56670-2021</t>
        </is>
      </c>
      <c r="B3681" s="1" t="n">
        <v>44481</v>
      </c>
      <c r="C3681" s="1" t="n">
        <v>45211</v>
      </c>
      <c r="D3681" t="inlineStr">
        <is>
          <t>ÖSTERGÖTLANDS LÄN</t>
        </is>
      </c>
      <c r="E3681" t="inlineStr">
        <is>
          <t>SÖDERKÖPING</t>
        </is>
      </c>
      <c r="G3681" t="n">
        <v>1.4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s="2" t="inlineStr"/>
    </row>
    <row r="3682" ht="15" customHeight="1">
      <c r="A3682" t="inlineStr">
        <is>
          <t>A 56725-2021</t>
        </is>
      </c>
      <c r="B3682" s="1" t="n">
        <v>44481</v>
      </c>
      <c r="C3682" s="1" t="n">
        <v>45211</v>
      </c>
      <c r="D3682" t="inlineStr">
        <is>
          <t>ÖSTERGÖTLANDS LÄN</t>
        </is>
      </c>
      <c r="E3682" t="inlineStr">
        <is>
          <t>KINDA</t>
        </is>
      </c>
      <c r="G3682" t="n">
        <v>1.5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s="2" t="inlineStr"/>
    </row>
    <row r="3683" ht="15" customHeight="1">
      <c r="A3683" t="inlineStr">
        <is>
          <t>A 56688-2021</t>
        </is>
      </c>
      <c r="B3683" s="1" t="n">
        <v>44481</v>
      </c>
      <c r="C3683" s="1" t="n">
        <v>45211</v>
      </c>
      <c r="D3683" t="inlineStr">
        <is>
          <t>ÖSTERGÖTLANDS LÄN</t>
        </is>
      </c>
      <c r="E3683" t="inlineStr">
        <is>
          <t>LINKÖPING</t>
        </is>
      </c>
      <c r="G3683" t="n">
        <v>1.1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s="2" t="inlineStr"/>
    </row>
    <row r="3684" ht="15" customHeight="1">
      <c r="A3684" t="inlineStr">
        <is>
          <t>A 56727-2021</t>
        </is>
      </c>
      <c r="B3684" s="1" t="n">
        <v>44481</v>
      </c>
      <c r="C3684" s="1" t="n">
        <v>45211</v>
      </c>
      <c r="D3684" t="inlineStr">
        <is>
          <t>ÖSTERGÖTLANDS LÄN</t>
        </is>
      </c>
      <c r="E3684" t="inlineStr">
        <is>
          <t>FINSPÅNG</t>
        </is>
      </c>
      <c r="G3684" t="n">
        <v>0.7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s="2" t="inlineStr"/>
    </row>
    <row r="3685" ht="15" customHeight="1">
      <c r="A3685" t="inlineStr">
        <is>
          <t>A 56794-2021</t>
        </is>
      </c>
      <c r="B3685" s="1" t="n">
        <v>44481</v>
      </c>
      <c r="C3685" s="1" t="n">
        <v>45211</v>
      </c>
      <c r="D3685" t="inlineStr">
        <is>
          <t>ÖSTERGÖTLANDS LÄN</t>
        </is>
      </c>
      <c r="E3685" t="inlineStr">
        <is>
          <t>BOXHOLM</t>
        </is>
      </c>
      <c r="F3685" t="inlineStr">
        <is>
          <t>Övriga Aktiebolag</t>
        </is>
      </c>
      <c r="G3685" t="n">
        <v>6.1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s="2" t="inlineStr"/>
    </row>
    <row r="3686" ht="15" customHeight="1">
      <c r="A3686" t="inlineStr">
        <is>
          <t>A 56883-2021</t>
        </is>
      </c>
      <c r="B3686" s="1" t="n">
        <v>44481</v>
      </c>
      <c r="C3686" s="1" t="n">
        <v>45211</v>
      </c>
      <c r="D3686" t="inlineStr">
        <is>
          <t>ÖSTERGÖTLANDS LÄN</t>
        </is>
      </c>
      <c r="E3686" t="inlineStr">
        <is>
          <t>FINSPÅNG</t>
        </is>
      </c>
      <c r="G3686" t="n">
        <v>0.5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s="2" t="inlineStr"/>
    </row>
    <row r="3687" ht="15" customHeight="1">
      <c r="A3687" t="inlineStr">
        <is>
          <t>A 56800-2021</t>
        </is>
      </c>
      <c r="B3687" s="1" t="n">
        <v>44481</v>
      </c>
      <c r="C3687" s="1" t="n">
        <v>45211</v>
      </c>
      <c r="D3687" t="inlineStr">
        <is>
          <t>ÖSTERGÖTLANDS LÄN</t>
        </is>
      </c>
      <c r="E3687" t="inlineStr">
        <is>
          <t>BOXHOLM</t>
        </is>
      </c>
      <c r="F3687" t="inlineStr">
        <is>
          <t>Övriga Aktiebolag</t>
        </is>
      </c>
      <c r="G3687" t="n">
        <v>2.6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s="2" t="inlineStr"/>
    </row>
    <row r="3688" ht="15" customHeight="1">
      <c r="A3688" t="inlineStr">
        <is>
          <t>A 57144-2021</t>
        </is>
      </c>
      <c r="B3688" s="1" t="n">
        <v>44482</v>
      </c>
      <c r="C3688" s="1" t="n">
        <v>45211</v>
      </c>
      <c r="D3688" t="inlineStr">
        <is>
          <t>ÖSTERGÖTLANDS LÄN</t>
        </is>
      </c>
      <c r="E3688" t="inlineStr">
        <is>
          <t>FINSPÅNG</t>
        </is>
      </c>
      <c r="G3688" t="n">
        <v>0.5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s="2" t="inlineStr"/>
    </row>
    <row r="3689" ht="15" customHeight="1">
      <c r="A3689" t="inlineStr">
        <is>
          <t>A 57009-2021</t>
        </is>
      </c>
      <c r="B3689" s="1" t="n">
        <v>44482</v>
      </c>
      <c r="C3689" s="1" t="n">
        <v>45211</v>
      </c>
      <c r="D3689" t="inlineStr">
        <is>
          <t>ÖSTERGÖTLANDS LÄN</t>
        </is>
      </c>
      <c r="E3689" t="inlineStr">
        <is>
          <t>FINSPÅNG</t>
        </is>
      </c>
      <c r="G3689" t="n">
        <v>0.6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s="2" t="inlineStr"/>
    </row>
    <row r="3690" ht="15" customHeight="1">
      <c r="A3690" t="inlineStr">
        <is>
          <t>A 57497-2021</t>
        </is>
      </c>
      <c r="B3690" s="1" t="n">
        <v>44483</v>
      </c>
      <c r="C3690" s="1" t="n">
        <v>45211</v>
      </c>
      <c r="D3690" t="inlineStr">
        <is>
          <t>ÖSTERGÖTLANDS LÄN</t>
        </is>
      </c>
      <c r="E3690" t="inlineStr">
        <is>
          <t>KINDA</t>
        </is>
      </c>
      <c r="G3690" t="n">
        <v>0.5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s="2" t="inlineStr"/>
    </row>
    <row r="3691" ht="15" customHeight="1">
      <c r="A3691" t="inlineStr">
        <is>
          <t>A 57449-2021</t>
        </is>
      </c>
      <c r="B3691" s="1" t="n">
        <v>44483</v>
      </c>
      <c r="C3691" s="1" t="n">
        <v>45211</v>
      </c>
      <c r="D3691" t="inlineStr">
        <is>
          <t>ÖSTERGÖTLANDS LÄN</t>
        </is>
      </c>
      <c r="E3691" t="inlineStr">
        <is>
          <t>KINDA</t>
        </is>
      </c>
      <c r="G3691" t="n">
        <v>5.3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s="2" t="inlineStr"/>
    </row>
    <row r="3692" ht="15" customHeight="1">
      <c r="A3692" t="inlineStr">
        <is>
          <t>A 57690-2021</t>
        </is>
      </c>
      <c r="B3692" s="1" t="n">
        <v>44484</v>
      </c>
      <c r="C3692" s="1" t="n">
        <v>45211</v>
      </c>
      <c r="D3692" t="inlineStr">
        <is>
          <t>ÖSTERGÖTLANDS LÄN</t>
        </is>
      </c>
      <c r="E3692" t="inlineStr">
        <is>
          <t>KINDA</t>
        </is>
      </c>
      <c r="G3692" t="n">
        <v>2.1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s="2" t="inlineStr"/>
    </row>
    <row r="3693" ht="15" customHeight="1">
      <c r="A3693" t="inlineStr">
        <is>
          <t>A 57657-2021</t>
        </is>
      </c>
      <c r="B3693" s="1" t="n">
        <v>44484</v>
      </c>
      <c r="C3693" s="1" t="n">
        <v>45211</v>
      </c>
      <c r="D3693" t="inlineStr">
        <is>
          <t>ÖSTERGÖTLANDS LÄN</t>
        </is>
      </c>
      <c r="E3693" t="inlineStr">
        <is>
          <t>KINDA</t>
        </is>
      </c>
      <c r="G3693" t="n">
        <v>5.7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s="2" t="inlineStr"/>
    </row>
    <row r="3694" ht="15" customHeight="1">
      <c r="A3694" t="inlineStr">
        <is>
          <t>A 57694-2021</t>
        </is>
      </c>
      <c r="B3694" s="1" t="n">
        <v>44484</v>
      </c>
      <c r="C3694" s="1" t="n">
        <v>45211</v>
      </c>
      <c r="D3694" t="inlineStr">
        <is>
          <t>ÖSTERGÖTLANDS LÄN</t>
        </is>
      </c>
      <c r="E3694" t="inlineStr">
        <is>
          <t>LINKÖPING</t>
        </is>
      </c>
      <c r="F3694" t="inlineStr">
        <is>
          <t>Allmännings- och besparingsskogar</t>
        </is>
      </c>
      <c r="G3694" t="n">
        <v>1.6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s="2" t="inlineStr"/>
    </row>
    <row r="3695" ht="15" customHeight="1">
      <c r="A3695" t="inlineStr">
        <is>
          <t>A 57950-2021</t>
        </is>
      </c>
      <c r="B3695" s="1" t="n">
        <v>44484</v>
      </c>
      <c r="C3695" s="1" t="n">
        <v>45211</v>
      </c>
      <c r="D3695" t="inlineStr">
        <is>
          <t>ÖSTERGÖTLANDS LÄN</t>
        </is>
      </c>
      <c r="E3695" t="inlineStr">
        <is>
          <t>KINDA</t>
        </is>
      </c>
      <c r="G3695" t="n">
        <v>1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s="2" t="inlineStr"/>
    </row>
    <row r="3696" ht="15" customHeight="1">
      <c r="A3696" t="inlineStr">
        <is>
          <t>A 57750-2021</t>
        </is>
      </c>
      <c r="B3696" s="1" t="n">
        <v>44484</v>
      </c>
      <c r="C3696" s="1" t="n">
        <v>45211</v>
      </c>
      <c r="D3696" t="inlineStr">
        <is>
          <t>ÖSTERGÖTLANDS LÄN</t>
        </is>
      </c>
      <c r="E3696" t="inlineStr">
        <is>
          <t>VADSTENA</t>
        </is>
      </c>
      <c r="G3696" t="n">
        <v>2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s="2" t="inlineStr"/>
    </row>
    <row r="3697" ht="15" customHeight="1">
      <c r="A3697" t="inlineStr">
        <is>
          <t>A 57894-2021</t>
        </is>
      </c>
      <c r="B3697" s="1" t="n">
        <v>44486</v>
      </c>
      <c r="C3697" s="1" t="n">
        <v>45211</v>
      </c>
      <c r="D3697" t="inlineStr">
        <is>
          <t>ÖSTERGÖTLANDS LÄN</t>
        </is>
      </c>
      <c r="E3697" t="inlineStr">
        <is>
          <t>KINDA</t>
        </is>
      </c>
      <c r="G3697" t="n">
        <v>0.9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s="2" t="inlineStr"/>
    </row>
    <row r="3698" ht="15" customHeight="1">
      <c r="A3698" t="inlineStr">
        <is>
          <t>A 58258-2021</t>
        </is>
      </c>
      <c r="B3698" s="1" t="n">
        <v>44487</v>
      </c>
      <c r="C3698" s="1" t="n">
        <v>45211</v>
      </c>
      <c r="D3698" t="inlineStr">
        <is>
          <t>ÖSTERGÖTLANDS LÄN</t>
        </is>
      </c>
      <c r="E3698" t="inlineStr">
        <is>
          <t>LINKÖPING</t>
        </is>
      </c>
      <c r="F3698" t="inlineStr">
        <is>
          <t>Övriga Aktiebolag</t>
        </is>
      </c>
      <c r="G3698" t="n">
        <v>1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s="2" t="inlineStr"/>
    </row>
    <row r="3699" ht="15" customHeight="1">
      <c r="A3699" t="inlineStr">
        <is>
          <t>A 58287-2021</t>
        </is>
      </c>
      <c r="B3699" s="1" t="n">
        <v>44487</v>
      </c>
      <c r="C3699" s="1" t="n">
        <v>45211</v>
      </c>
      <c r="D3699" t="inlineStr">
        <is>
          <t>ÖSTERGÖTLANDS LÄN</t>
        </is>
      </c>
      <c r="E3699" t="inlineStr">
        <is>
          <t>LINKÖPING</t>
        </is>
      </c>
      <c r="F3699" t="inlineStr">
        <is>
          <t>Övriga Aktiebolag</t>
        </is>
      </c>
      <c r="G3699" t="n">
        <v>1.5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s="2" t="inlineStr"/>
    </row>
    <row r="3700" ht="15" customHeight="1">
      <c r="A3700" t="inlineStr">
        <is>
          <t>A 57981-2021</t>
        </is>
      </c>
      <c r="B3700" s="1" t="n">
        <v>44487</v>
      </c>
      <c r="C3700" s="1" t="n">
        <v>45211</v>
      </c>
      <c r="D3700" t="inlineStr">
        <is>
          <t>ÖSTERGÖTLANDS LÄN</t>
        </is>
      </c>
      <c r="E3700" t="inlineStr">
        <is>
          <t>MOTALA</t>
        </is>
      </c>
      <c r="G3700" t="n">
        <v>1.8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s="2" t="inlineStr"/>
    </row>
    <row r="3701" ht="15" customHeight="1">
      <c r="A3701" t="inlineStr">
        <is>
          <t>A 58114-2021</t>
        </is>
      </c>
      <c r="B3701" s="1" t="n">
        <v>44487</v>
      </c>
      <c r="C3701" s="1" t="n">
        <v>45211</v>
      </c>
      <c r="D3701" t="inlineStr">
        <is>
          <t>ÖSTERGÖTLANDS LÄN</t>
        </is>
      </c>
      <c r="E3701" t="inlineStr">
        <is>
          <t>LINKÖPING</t>
        </is>
      </c>
      <c r="F3701" t="inlineStr">
        <is>
          <t>Övriga Aktiebolag</t>
        </is>
      </c>
      <c r="G3701" t="n">
        <v>0.8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s="2" t="inlineStr"/>
    </row>
    <row r="3702" ht="15" customHeight="1">
      <c r="A3702" t="inlineStr">
        <is>
          <t>A 57992-2021</t>
        </is>
      </c>
      <c r="B3702" s="1" t="n">
        <v>44487</v>
      </c>
      <c r="C3702" s="1" t="n">
        <v>45211</v>
      </c>
      <c r="D3702" t="inlineStr">
        <is>
          <t>ÖSTERGÖTLANDS LÄN</t>
        </is>
      </c>
      <c r="E3702" t="inlineStr">
        <is>
          <t>MOTALA</t>
        </is>
      </c>
      <c r="G3702" t="n">
        <v>2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s="2" t="inlineStr"/>
    </row>
    <row r="3703" ht="15" customHeight="1">
      <c r="A3703" t="inlineStr">
        <is>
          <t>A 58052-2021</t>
        </is>
      </c>
      <c r="B3703" s="1" t="n">
        <v>44487</v>
      </c>
      <c r="C3703" s="1" t="n">
        <v>45211</v>
      </c>
      <c r="D3703" t="inlineStr">
        <is>
          <t>ÖSTERGÖTLANDS LÄN</t>
        </is>
      </c>
      <c r="E3703" t="inlineStr">
        <is>
          <t>ÖDESHÖG</t>
        </is>
      </c>
      <c r="F3703" t="inlineStr">
        <is>
          <t>Sveaskog</t>
        </is>
      </c>
      <c r="G3703" t="n">
        <v>4.3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s="2" t="inlineStr"/>
    </row>
    <row r="3704" ht="15" customHeight="1">
      <c r="A3704" t="inlineStr">
        <is>
          <t>A 58100-2021</t>
        </is>
      </c>
      <c r="B3704" s="1" t="n">
        <v>44487</v>
      </c>
      <c r="C3704" s="1" t="n">
        <v>45211</v>
      </c>
      <c r="D3704" t="inlineStr">
        <is>
          <t>ÖSTERGÖTLANDS LÄN</t>
        </is>
      </c>
      <c r="E3704" t="inlineStr">
        <is>
          <t>VALDEMARSVIK</t>
        </is>
      </c>
      <c r="G3704" t="n">
        <v>2.3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s="2" t="inlineStr"/>
    </row>
    <row r="3705" ht="15" customHeight="1">
      <c r="A3705" t="inlineStr">
        <is>
          <t>A 58266-2021</t>
        </is>
      </c>
      <c r="B3705" s="1" t="n">
        <v>44487</v>
      </c>
      <c r="C3705" s="1" t="n">
        <v>45211</v>
      </c>
      <c r="D3705" t="inlineStr">
        <is>
          <t>ÖSTERGÖTLANDS LÄN</t>
        </is>
      </c>
      <c r="E3705" t="inlineStr">
        <is>
          <t>LINKÖPING</t>
        </is>
      </c>
      <c r="F3705" t="inlineStr">
        <is>
          <t>Övriga Aktiebolag</t>
        </is>
      </c>
      <c r="G3705" t="n">
        <v>3.2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s="2" t="inlineStr"/>
    </row>
    <row r="3706" ht="15" customHeight="1">
      <c r="A3706" t="inlineStr">
        <is>
          <t>A 58407-2021</t>
        </is>
      </c>
      <c r="B3706" s="1" t="n">
        <v>44488</v>
      </c>
      <c r="C3706" s="1" t="n">
        <v>45211</v>
      </c>
      <c r="D3706" t="inlineStr">
        <is>
          <t>ÖSTERGÖTLANDS LÄN</t>
        </is>
      </c>
      <c r="E3706" t="inlineStr">
        <is>
          <t>LINKÖPING</t>
        </is>
      </c>
      <c r="G3706" t="n">
        <v>1.1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s="2" t="inlineStr"/>
    </row>
    <row r="3707" ht="15" customHeight="1">
      <c r="A3707" t="inlineStr">
        <is>
          <t>A 58525-2021</t>
        </is>
      </c>
      <c r="B3707" s="1" t="n">
        <v>44488</v>
      </c>
      <c r="C3707" s="1" t="n">
        <v>45211</v>
      </c>
      <c r="D3707" t="inlineStr">
        <is>
          <t>ÖSTERGÖTLANDS LÄN</t>
        </is>
      </c>
      <c r="E3707" t="inlineStr">
        <is>
          <t>NORRKÖPING</t>
        </is>
      </c>
      <c r="G3707" t="n">
        <v>1.5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s="2" t="inlineStr"/>
    </row>
    <row r="3708" ht="15" customHeight="1">
      <c r="A3708" t="inlineStr">
        <is>
          <t>A 58791-2021</t>
        </is>
      </c>
      <c r="B3708" s="1" t="n">
        <v>44489</v>
      </c>
      <c r="C3708" s="1" t="n">
        <v>45211</v>
      </c>
      <c r="D3708" t="inlineStr">
        <is>
          <t>ÖSTERGÖTLANDS LÄN</t>
        </is>
      </c>
      <c r="E3708" t="inlineStr">
        <is>
          <t>NORRKÖPING</t>
        </is>
      </c>
      <c r="G3708" t="n">
        <v>3.9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s="2" t="inlineStr"/>
    </row>
    <row r="3709" ht="15" customHeight="1">
      <c r="A3709" t="inlineStr">
        <is>
          <t>A 59297-2021</t>
        </is>
      </c>
      <c r="B3709" s="1" t="n">
        <v>44490</v>
      </c>
      <c r="C3709" s="1" t="n">
        <v>45211</v>
      </c>
      <c r="D3709" t="inlineStr">
        <is>
          <t>ÖSTERGÖTLANDS LÄN</t>
        </is>
      </c>
      <c r="E3709" t="inlineStr">
        <is>
          <t>YDRE</t>
        </is>
      </c>
      <c r="G3709" t="n">
        <v>2.9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s="2" t="inlineStr"/>
    </row>
    <row r="3710" ht="15" customHeight="1">
      <c r="A3710" t="inlineStr">
        <is>
          <t>A 59092-2021</t>
        </is>
      </c>
      <c r="B3710" s="1" t="n">
        <v>44490</v>
      </c>
      <c r="C3710" s="1" t="n">
        <v>45211</v>
      </c>
      <c r="D3710" t="inlineStr">
        <is>
          <t>ÖSTERGÖTLANDS LÄN</t>
        </is>
      </c>
      <c r="E3710" t="inlineStr">
        <is>
          <t>NORRKÖPING</t>
        </is>
      </c>
      <c r="G3710" t="n">
        <v>8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s="2" t="inlineStr"/>
    </row>
    <row r="3711" ht="15" customHeight="1">
      <c r="A3711" t="inlineStr">
        <is>
          <t>A 59296-2021</t>
        </is>
      </c>
      <c r="B3711" s="1" t="n">
        <v>44490</v>
      </c>
      <c r="C3711" s="1" t="n">
        <v>45211</v>
      </c>
      <c r="D3711" t="inlineStr">
        <is>
          <t>ÖSTERGÖTLANDS LÄN</t>
        </is>
      </c>
      <c r="E3711" t="inlineStr">
        <is>
          <t>YDRE</t>
        </is>
      </c>
      <c r="G3711" t="n">
        <v>4.1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s="2" t="inlineStr"/>
    </row>
    <row r="3712" ht="15" customHeight="1">
      <c r="A3712" t="inlineStr">
        <is>
          <t>A 59412-2021</t>
        </is>
      </c>
      <c r="B3712" s="1" t="n">
        <v>44491</v>
      </c>
      <c r="C3712" s="1" t="n">
        <v>45211</v>
      </c>
      <c r="D3712" t="inlineStr">
        <is>
          <t>ÖSTERGÖTLANDS LÄN</t>
        </is>
      </c>
      <c r="E3712" t="inlineStr">
        <is>
          <t>YDRE</t>
        </is>
      </c>
      <c r="F3712" t="inlineStr">
        <is>
          <t>Sveaskog</t>
        </is>
      </c>
      <c r="G3712" t="n">
        <v>1.8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s="2" t="inlineStr"/>
    </row>
    <row r="3713" ht="15" customHeight="1">
      <c r="A3713" t="inlineStr">
        <is>
          <t>A 59410-2021</t>
        </is>
      </c>
      <c r="B3713" s="1" t="n">
        <v>44491</v>
      </c>
      <c r="C3713" s="1" t="n">
        <v>45211</v>
      </c>
      <c r="D3713" t="inlineStr">
        <is>
          <t>ÖSTERGÖTLANDS LÄN</t>
        </is>
      </c>
      <c r="E3713" t="inlineStr">
        <is>
          <t>YDRE</t>
        </is>
      </c>
      <c r="F3713" t="inlineStr">
        <is>
          <t>Sveaskog</t>
        </is>
      </c>
      <c r="G3713" t="n">
        <v>1.4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s="2" t="inlineStr"/>
    </row>
    <row r="3714" ht="15" customHeight="1">
      <c r="A3714" t="inlineStr">
        <is>
          <t>A 59468-2021</t>
        </is>
      </c>
      <c r="B3714" s="1" t="n">
        <v>44491</v>
      </c>
      <c r="C3714" s="1" t="n">
        <v>45211</v>
      </c>
      <c r="D3714" t="inlineStr">
        <is>
          <t>ÖSTERGÖTLANDS LÄN</t>
        </is>
      </c>
      <c r="E3714" t="inlineStr">
        <is>
          <t>FINSPÅNG</t>
        </is>
      </c>
      <c r="G3714" t="n">
        <v>1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s="2" t="inlineStr"/>
    </row>
    <row r="3715" ht="15" customHeight="1">
      <c r="A3715" t="inlineStr">
        <is>
          <t>A 59894-2021</t>
        </is>
      </c>
      <c r="B3715" s="1" t="n">
        <v>44494</v>
      </c>
      <c r="C3715" s="1" t="n">
        <v>45211</v>
      </c>
      <c r="D3715" t="inlineStr">
        <is>
          <t>ÖSTERGÖTLANDS LÄN</t>
        </is>
      </c>
      <c r="E3715" t="inlineStr">
        <is>
          <t>FINSPÅNG</t>
        </is>
      </c>
      <c r="G3715" t="n">
        <v>4.8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s="2" t="inlineStr"/>
    </row>
    <row r="3716" ht="15" customHeight="1">
      <c r="A3716" t="inlineStr">
        <is>
          <t>A 59768-2021</t>
        </is>
      </c>
      <c r="B3716" s="1" t="n">
        <v>44494</v>
      </c>
      <c r="C3716" s="1" t="n">
        <v>45211</v>
      </c>
      <c r="D3716" t="inlineStr">
        <is>
          <t>ÖSTERGÖTLANDS LÄN</t>
        </is>
      </c>
      <c r="E3716" t="inlineStr">
        <is>
          <t>NORRKÖPING</t>
        </is>
      </c>
      <c r="G3716" t="n">
        <v>2.4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s="2" t="inlineStr"/>
    </row>
    <row r="3717" ht="15" customHeight="1">
      <c r="A3717" t="inlineStr">
        <is>
          <t>A 59765-2021</t>
        </is>
      </c>
      <c r="B3717" s="1" t="n">
        <v>44494</v>
      </c>
      <c r="C3717" s="1" t="n">
        <v>45211</v>
      </c>
      <c r="D3717" t="inlineStr">
        <is>
          <t>ÖSTERGÖTLANDS LÄN</t>
        </is>
      </c>
      <c r="E3717" t="inlineStr">
        <is>
          <t>NORRKÖPING</t>
        </is>
      </c>
      <c r="G3717" t="n">
        <v>3.3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s="2" t="inlineStr"/>
    </row>
    <row r="3718" ht="15" customHeight="1">
      <c r="A3718" t="inlineStr">
        <is>
          <t>A 60029-2021</t>
        </is>
      </c>
      <c r="B3718" s="1" t="n">
        <v>44494</v>
      </c>
      <c r="C3718" s="1" t="n">
        <v>45211</v>
      </c>
      <c r="D3718" t="inlineStr">
        <is>
          <t>ÖSTERGÖTLANDS LÄN</t>
        </is>
      </c>
      <c r="E3718" t="inlineStr">
        <is>
          <t>MOTALA</t>
        </is>
      </c>
      <c r="G3718" t="n">
        <v>4.7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s="2" t="inlineStr"/>
    </row>
    <row r="3719" ht="15" customHeight="1">
      <c r="A3719" t="inlineStr">
        <is>
          <t>A 59722-2021</t>
        </is>
      </c>
      <c r="B3719" s="1" t="n">
        <v>44494</v>
      </c>
      <c r="C3719" s="1" t="n">
        <v>45211</v>
      </c>
      <c r="D3719" t="inlineStr">
        <is>
          <t>ÖSTERGÖTLANDS LÄN</t>
        </is>
      </c>
      <c r="E3719" t="inlineStr">
        <is>
          <t>ÅTVIDABERG</t>
        </is>
      </c>
      <c r="F3719" t="inlineStr">
        <is>
          <t>Sveaskog</t>
        </is>
      </c>
      <c r="G3719" t="n">
        <v>0.8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s="2" t="inlineStr"/>
    </row>
    <row r="3720" ht="15" customHeight="1">
      <c r="A3720" t="inlineStr">
        <is>
          <t>A 59792-2021</t>
        </is>
      </c>
      <c r="B3720" s="1" t="n">
        <v>44494</v>
      </c>
      <c r="C3720" s="1" t="n">
        <v>45211</v>
      </c>
      <c r="D3720" t="inlineStr">
        <is>
          <t>ÖSTERGÖTLANDS LÄN</t>
        </is>
      </c>
      <c r="E3720" t="inlineStr">
        <is>
          <t>SÖDERKÖPING</t>
        </is>
      </c>
      <c r="G3720" t="n">
        <v>0.5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s="2" t="inlineStr"/>
    </row>
    <row r="3721" ht="15" customHeight="1">
      <c r="A3721" t="inlineStr">
        <is>
          <t>A 59811-2021</t>
        </is>
      </c>
      <c r="B3721" s="1" t="n">
        <v>44494</v>
      </c>
      <c r="C3721" s="1" t="n">
        <v>45211</v>
      </c>
      <c r="D3721" t="inlineStr">
        <is>
          <t>ÖSTERGÖTLANDS LÄN</t>
        </is>
      </c>
      <c r="E3721" t="inlineStr">
        <is>
          <t>FINSPÅNG</t>
        </is>
      </c>
      <c r="G3721" t="n">
        <v>1.2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s="2" t="inlineStr"/>
    </row>
    <row r="3722" ht="15" customHeight="1">
      <c r="A3722" t="inlineStr">
        <is>
          <t>A 60527-2021</t>
        </is>
      </c>
      <c r="B3722" s="1" t="n">
        <v>44495</v>
      </c>
      <c r="C3722" s="1" t="n">
        <v>45211</v>
      </c>
      <c r="D3722" t="inlineStr">
        <is>
          <t>ÖSTERGÖTLANDS LÄN</t>
        </is>
      </c>
      <c r="E3722" t="inlineStr">
        <is>
          <t>ÅTVIDABERG</t>
        </is>
      </c>
      <c r="F3722" t="inlineStr">
        <is>
          <t>Övriga Aktiebolag</t>
        </is>
      </c>
      <c r="G3722" t="n">
        <v>0.7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s="2" t="inlineStr"/>
    </row>
    <row r="3723" ht="15" customHeight="1">
      <c r="A3723" t="inlineStr">
        <is>
          <t>A 60153-2021</t>
        </is>
      </c>
      <c r="B3723" s="1" t="n">
        <v>44495</v>
      </c>
      <c r="C3723" s="1" t="n">
        <v>45211</v>
      </c>
      <c r="D3723" t="inlineStr">
        <is>
          <t>ÖSTERGÖTLANDS LÄN</t>
        </is>
      </c>
      <c r="E3723" t="inlineStr">
        <is>
          <t>SÖDERKÖPING</t>
        </is>
      </c>
      <c r="G3723" t="n">
        <v>4.7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s="2" t="inlineStr"/>
    </row>
    <row r="3724" ht="15" customHeight="1">
      <c r="A3724" t="inlineStr">
        <is>
          <t>A 60516-2021</t>
        </is>
      </c>
      <c r="B3724" s="1" t="n">
        <v>44495</v>
      </c>
      <c r="C3724" s="1" t="n">
        <v>45211</v>
      </c>
      <c r="D3724" t="inlineStr">
        <is>
          <t>ÖSTERGÖTLANDS LÄN</t>
        </is>
      </c>
      <c r="E3724" t="inlineStr">
        <is>
          <t>ÅTVIDABERG</t>
        </is>
      </c>
      <c r="F3724" t="inlineStr">
        <is>
          <t>Övriga Aktiebolag</t>
        </is>
      </c>
      <c r="G3724" t="n">
        <v>0.6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s="2" t="inlineStr"/>
    </row>
    <row r="3725" ht="15" customHeight="1">
      <c r="A3725" t="inlineStr">
        <is>
          <t>A 60160-2021</t>
        </is>
      </c>
      <c r="B3725" s="1" t="n">
        <v>44495</v>
      </c>
      <c r="C3725" s="1" t="n">
        <v>45211</v>
      </c>
      <c r="D3725" t="inlineStr">
        <is>
          <t>ÖSTERGÖTLANDS LÄN</t>
        </is>
      </c>
      <c r="E3725" t="inlineStr">
        <is>
          <t>SÖDERKÖPING</t>
        </is>
      </c>
      <c r="G3725" t="n">
        <v>2.1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s="2" t="inlineStr"/>
    </row>
    <row r="3726" ht="15" customHeight="1">
      <c r="A3726" t="inlineStr">
        <is>
          <t>A 60639-2021</t>
        </is>
      </c>
      <c r="B3726" s="1" t="n">
        <v>44496</v>
      </c>
      <c r="C3726" s="1" t="n">
        <v>45211</v>
      </c>
      <c r="D3726" t="inlineStr">
        <is>
          <t>ÖSTERGÖTLANDS LÄN</t>
        </is>
      </c>
      <c r="E3726" t="inlineStr">
        <is>
          <t>LINKÖPING</t>
        </is>
      </c>
      <c r="G3726" t="n">
        <v>1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s="2" t="inlineStr"/>
    </row>
    <row r="3727" ht="15" customHeight="1">
      <c r="A3727" t="inlineStr">
        <is>
          <t>A 60618-2021</t>
        </is>
      </c>
      <c r="B3727" s="1" t="n">
        <v>44496</v>
      </c>
      <c r="C3727" s="1" t="n">
        <v>45211</v>
      </c>
      <c r="D3727" t="inlineStr">
        <is>
          <t>ÖSTERGÖTLANDS LÄN</t>
        </is>
      </c>
      <c r="E3727" t="inlineStr">
        <is>
          <t>MOTALA</t>
        </is>
      </c>
      <c r="G3727" t="n">
        <v>4.3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s="2" t="inlineStr"/>
    </row>
    <row r="3728" ht="15" customHeight="1">
      <c r="A3728" t="inlineStr">
        <is>
          <t>A 61156-2021</t>
        </is>
      </c>
      <c r="B3728" s="1" t="n">
        <v>44497</v>
      </c>
      <c r="C3728" s="1" t="n">
        <v>45211</v>
      </c>
      <c r="D3728" t="inlineStr">
        <is>
          <t>ÖSTERGÖTLANDS LÄN</t>
        </is>
      </c>
      <c r="E3728" t="inlineStr">
        <is>
          <t>KINDA</t>
        </is>
      </c>
      <c r="G3728" t="n">
        <v>2.4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s="2" t="inlineStr"/>
    </row>
    <row r="3729" ht="15" customHeight="1">
      <c r="A3729" t="inlineStr">
        <is>
          <t>A 60980-2021</t>
        </is>
      </c>
      <c r="B3729" s="1" t="n">
        <v>44497</v>
      </c>
      <c r="C3729" s="1" t="n">
        <v>45211</v>
      </c>
      <c r="D3729" t="inlineStr">
        <is>
          <t>ÖSTERGÖTLANDS LÄN</t>
        </is>
      </c>
      <c r="E3729" t="inlineStr">
        <is>
          <t>NORRKÖPING</t>
        </is>
      </c>
      <c r="G3729" t="n">
        <v>1.7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s="2" t="inlineStr"/>
    </row>
    <row r="3730" ht="15" customHeight="1">
      <c r="A3730" t="inlineStr">
        <is>
          <t>A 61066-2021</t>
        </is>
      </c>
      <c r="B3730" s="1" t="n">
        <v>44497</v>
      </c>
      <c r="C3730" s="1" t="n">
        <v>45211</v>
      </c>
      <c r="D3730" t="inlineStr">
        <is>
          <t>ÖSTERGÖTLANDS LÄN</t>
        </is>
      </c>
      <c r="E3730" t="inlineStr">
        <is>
          <t>BOXHOLM</t>
        </is>
      </c>
      <c r="G3730" t="n">
        <v>6.9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s="2" t="inlineStr"/>
    </row>
    <row r="3731" ht="15" customHeight="1">
      <c r="A3731" t="inlineStr">
        <is>
          <t>A 61153-2021</t>
        </is>
      </c>
      <c r="B3731" s="1" t="n">
        <v>44497</v>
      </c>
      <c r="C3731" s="1" t="n">
        <v>45211</v>
      </c>
      <c r="D3731" t="inlineStr">
        <is>
          <t>ÖSTERGÖTLANDS LÄN</t>
        </is>
      </c>
      <c r="E3731" t="inlineStr">
        <is>
          <t>LINKÖPING</t>
        </is>
      </c>
      <c r="G3731" t="n">
        <v>1.7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s="2" t="inlineStr"/>
    </row>
    <row r="3732" ht="15" customHeight="1">
      <c r="A3732" t="inlineStr">
        <is>
          <t>A 61243-2021</t>
        </is>
      </c>
      <c r="B3732" s="1" t="n">
        <v>44498</v>
      </c>
      <c r="C3732" s="1" t="n">
        <v>45211</v>
      </c>
      <c r="D3732" t="inlineStr">
        <is>
          <t>ÖSTERGÖTLANDS LÄN</t>
        </is>
      </c>
      <c r="E3732" t="inlineStr">
        <is>
          <t>LINKÖPING</t>
        </is>
      </c>
      <c r="G3732" t="n">
        <v>2.1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s="2" t="inlineStr"/>
    </row>
    <row r="3733" ht="15" customHeight="1">
      <c r="A3733" t="inlineStr">
        <is>
          <t>A 61210-2021</t>
        </is>
      </c>
      <c r="B3733" s="1" t="n">
        <v>44498</v>
      </c>
      <c r="C3733" s="1" t="n">
        <v>45211</v>
      </c>
      <c r="D3733" t="inlineStr">
        <is>
          <t>ÖSTERGÖTLANDS LÄN</t>
        </is>
      </c>
      <c r="E3733" t="inlineStr">
        <is>
          <t>BOXHOLM</t>
        </is>
      </c>
      <c r="F3733" t="inlineStr">
        <is>
          <t>Övriga Aktiebolag</t>
        </is>
      </c>
      <c r="G3733" t="n">
        <v>10.5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s="2" t="inlineStr"/>
    </row>
    <row r="3734" ht="15" customHeight="1">
      <c r="A3734" t="inlineStr">
        <is>
          <t>A 61393-2021</t>
        </is>
      </c>
      <c r="B3734" s="1" t="n">
        <v>44500</v>
      </c>
      <c r="C3734" s="1" t="n">
        <v>45211</v>
      </c>
      <c r="D3734" t="inlineStr">
        <is>
          <t>ÖSTERGÖTLANDS LÄN</t>
        </is>
      </c>
      <c r="E3734" t="inlineStr">
        <is>
          <t>KINDA</t>
        </is>
      </c>
      <c r="G3734" t="n">
        <v>3.6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s="2" t="inlineStr"/>
    </row>
    <row r="3735" ht="15" customHeight="1">
      <c r="A3735" t="inlineStr">
        <is>
          <t>A 61509-2021</t>
        </is>
      </c>
      <c r="B3735" s="1" t="n">
        <v>44501</v>
      </c>
      <c r="C3735" s="1" t="n">
        <v>45211</v>
      </c>
      <c r="D3735" t="inlineStr">
        <is>
          <t>ÖSTERGÖTLANDS LÄN</t>
        </is>
      </c>
      <c r="E3735" t="inlineStr">
        <is>
          <t>LINKÖPING</t>
        </is>
      </c>
      <c r="F3735" t="inlineStr">
        <is>
          <t>Övriga Aktiebolag</t>
        </is>
      </c>
      <c r="G3735" t="n">
        <v>3.7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s="2" t="inlineStr"/>
    </row>
    <row r="3736" ht="15" customHeight="1">
      <c r="A3736" t="inlineStr">
        <is>
          <t>A 61695-2021</t>
        </is>
      </c>
      <c r="B3736" s="1" t="n">
        <v>44501</v>
      </c>
      <c r="C3736" s="1" t="n">
        <v>45211</v>
      </c>
      <c r="D3736" t="inlineStr">
        <is>
          <t>ÖSTERGÖTLANDS LÄN</t>
        </is>
      </c>
      <c r="E3736" t="inlineStr">
        <is>
          <t>FINSPÅNG</t>
        </is>
      </c>
      <c r="F3736" t="inlineStr">
        <is>
          <t>Sveaskog</t>
        </is>
      </c>
      <c r="G3736" t="n">
        <v>1.7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s="2" t="inlineStr"/>
    </row>
    <row r="3737" ht="15" customHeight="1">
      <c r="A3737" t="inlineStr">
        <is>
          <t>A 61523-2021</t>
        </is>
      </c>
      <c r="B3737" s="1" t="n">
        <v>44501</v>
      </c>
      <c r="C3737" s="1" t="n">
        <v>45211</v>
      </c>
      <c r="D3737" t="inlineStr">
        <is>
          <t>ÖSTERGÖTLANDS LÄN</t>
        </is>
      </c>
      <c r="E3737" t="inlineStr">
        <is>
          <t>KINDA</t>
        </is>
      </c>
      <c r="G3737" t="n">
        <v>2.5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s="2" t="inlineStr"/>
    </row>
    <row r="3738" ht="15" customHeight="1">
      <c r="A3738" t="inlineStr">
        <is>
          <t>A 61636-2021</t>
        </is>
      </c>
      <c r="B3738" s="1" t="n">
        <v>44501</v>
      </c>
      <c r="C3738" s="1" t="n">
        <v>45211</v>
      </c>
      <c r="D3738" t="inlineStr">
        <is>
          <t>ÖSTERGÖTLANDS LÄN</t>
        </is>
      </c>
      <c r="E3738" t="inlineStr">
        <is>
          <t>YDRE</t>
        </is>
      </c>
      <c r="G3738" t="n">
        <v>1.5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s="2" t="inlineStr"/>
    </row>
    <row r="3739" ht="15" customHeight="1">
      <c r="A3739" t="inlineStr">
        <is>
          <t>A 62019-2021</t>
        </is>
      </c>
      <c r="B3739" s="1" t="n">
        <v>44501</v>
      </c>
      <c r="C3739" s="1" t="n">
        <v>45211</v>
      </c>
      <c r="D3739" t="inlineStr">
        <is>
          <t>ÖSTERGÖTLANDS LÄN</t>
        </is>
      </c>
      <c r="E3739" t="inlineStr">
        <is>
          <t>MOTALA</t>
        </is>
      </c>
      <c r="G3739" t="n">
        <v>0.7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s="2" t="inlineStr"/>
    </row>
    <row r="3740" ht="15" customHeight="1">
      <c r="A3740" t="inlineStr">
        <is>
          <t>A 61880-2021</t>
        </is>
      </c>
      <c r="B3740" s="1" t="n">
        <v>44502</v>
      </c>
      <c r="C3740" s="1" t="n">
        <v>45211</v>
      </c>
      <c r="D3740" t="inlineStr">
        <is>
          <t>ÖSTERGÖTLANDS LÄN</t>
        </is>
      </c>
      <c r="E3740" t="inlineStr">
        <is>
          <t>ÖDESHÖG</t>
        </is>
      </c>
      <c r="G3740" t="n">
        <v>4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s="2" t="inlineStr"/>
    </row>
    <row r="3741" ht="15" customHeight="1">
      <c r="A3741" t="inlineStr">
        <is>
          <t>A 62406-2021</t>
        </is>
      </c>
      <c r="B3741" s="1" t="n">
        <v>44502</v>
      </c>
      <c r="C3741" s="1" t="n">
        <v>45211</v>
      </c>
      <c r="D3741" t="inlineStr">
        <is>
          <t>ÖSTERGÖTLANDS LÄN</t>
        </is>
      </c>
      <c r="E3741" t="inlineStr">
        <is>
          <t>NORRKÖPING</t>
        </is>
      </c>
      <c r="G3741" t="n">
        <v>1.4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s="2" t="inlineStr"/>
    </row>
    <row r="3742" ht="15" customHeight="1">
      <c r="A3742" t="inlineStr">
        <is>
          <t>A 61973-2021</t>
        </is>
      </c>
      <c r="B3742" s="1" t="n">
        <v>44502</v>
      </c>
      <c r="C3742" s="1" t="n">
        <v>45211</v>
      </c>
      <c r="D3742" t="inlineStr">
        <is>
          <t>ÖSTERGÖTLANDS LÄN</t>
        </is>
      </c>
      <c r="E3742" t="inlineStr">
        <is>
          <t>NORRKÖPING</t>
        </is>
      </c>
      <c r="G3742" t="n">
        <v>1.3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s="2" t="inlineStr"/>
    </row>
    <row r="3743" ht="15" customHeight="1">
      <c r="A3743" t="inlineStr">
        <is>
          <t>A 62006-2021</t>
        </is>
      </c>
      <c r="B3743" s="1" t="n">
        <v>44502</v>
      </c>
      <c r="C3743" s="1" t="n">
        <v>45211</v>
      </c>
      <c r="D3743" t="inlineStr">
        <is>
          <t>ÖSTERGÖTLANDS LÄN</t>
        </is>
      </c>
      <c r="E3743" t="inlineStr">
        <is>
          <t>YDRE</t>
        </is>
      </c>
      <c r="G3743" t="n">
        <v>1.7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s="2" t="inlineStr"/>
    </row>
    <row r="3744" ht="15" customHeight="1">
      <c r="A3744" t="inlineStr">
        <is>
          <t>A 61942-2021</t>
        </is>
      </c>
      <c r="B3744" s="1" t="n">
        <v>44502</v>
      </c>
      <c r="C3744" s="1" t="n">
        <v>45211</v>
      </c>
      <c r="D3744" t="inlineStr">
        <is>
          <t>ÖSTERGÖTLANDS LÄN</t>
        </is>
      </c>
      <c r="E3744" t="inlineStr">
        <is>
          <t>YDRE</t>
        </is>
      </c>
      <c r="G3744" t="n">
        <v>0.9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s="2" t="inlineStr"/>
    </row>
    <row r="3745" ht="15" customHeight="1">
      <c r="A3745" t="inlineStr">
        <is>
          <t>A 62196-2021</t>
        </is>
      </c>
      <c r="B3745" s="1" t="n">
        <v>44502</v>
      </c>
      <c r="C3745" s="1" t="n">
        <v>45211</v>
      </c>
      <c r="D3745" t="inlineStr">
        <is>
          <t>ÖSTERGÖTLANDS LÄN</t>
        </is>
      </c>
      <c r="E3745" t="inlineStr">
        <is>
          <t>FINSPÅNG</t>
        </is>
      </c>
      <c r="F3745" t="inlineStr">
        <is>
          <t>Övriga Aktiebolag</t>
        </is>
      </c>
      <c r="G3745" t="n">
        <v>0.4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s="2" t="inlineStr"/>
    </row>
    <row r="3746" ht="15" customHeight="1">
      <c r="A3746" t="inlineStr">
        <is>
          <t>A 62565-2021</t>
        </is>
      </c>
      <c r="B3746" s="1" t="n">
        <v>44502</v>
      </c>
      <c r="C3746" s="1" t="n">
        <v>45211</v>
      </c>
      <c r="D3746" t="inlineStr">
        <is>
          <t>ÖSTERGÖTLANDS LÄN</t>
        </is>
      </c>
      <c r="E3746" t="inlineStr">
        <is>
          <t>KINDA</t>
        </is>
      </c>
      <c r="G3746" t="n">
        <v>1.5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s="2" t="inlineStr"/>
    </row>
    <row r="3747" ht="15" customHeight="1">
      <c r="A3747" t="inlineStr">
        <is>
          <t>A 62542-2021</t>
        </is>
      </c>
      <c r="B3747" s="1" t="n">
        <v>44503</v>
      </c>
      <c r="C3747" s="1" t="n">
        <v>45211</v>
      </c>
      <c r="D3747" t="inlineStr">
        <is>
          <t>ÖSTERGÖTLANDS LÄN</t>
        </is>
      </c>
      <c r="E3747" t="inlineStr">
        <is>
          <t>MOTALA</t>
        </is>
      </c>
      <c r="G3747" t="n">
        <v>0.8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s="2" t="inlineStr"/>
    </row>
    <row r="3748" ht="15" customHeight="1">
      <c r="A3748" t="inlineStr">
        <is>
          <t>A 62556-2021</t>
        </is>
      </c>
      <c r="B3748" s="1" t="n">
        <v>44503</v>
      </c>
      <c r="C3748" s="1" t="n">
        <v>45211</v>
      </c>
      <c r="D3748" t="inlineStr">
        <is>
          <t>ÖSTERGÖTLANDS LÄN</t>
        </is>
      </c>
      <c r="E3748" t="inlineStr">
        <is>
          <t>MOTALA</t>
        </is>
      </c>
      <c r="G3748" t="n">
        <v>1.8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s="2" t="inlineStr"/>
    </row>
    <row r="3749" ht="15" customHeight="1">
      <c r="A3749" t="inlineStr">
        <is>
          <t>A 62771-2021</t>
        </is>
      </c>
      <c r="B3749" s="1" t="n">
        <v>44503</v>
      </c>
      <c r="C3749" s="1" t="n">
        <v>45211</v>
      </c>
      <c r="D3749" t="inlineStr">
        <is>
          <t>ÖSTERGÖTLANDS LÄN</t>
        </is>
      </c>
      <c r="E3749" t="inlineStr">
        <is>
          <t>NORRKÖPING</t>
        </is>
      </c>
      <c r="F3749" t="inlineStr">
        <is>
          <t>Allmännings- och besparingsskogar</t>
        </is>
      </c>
      <c r="G3749" t="n">
        <v>6.6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s="2" t="inlineStr"/>
    </row>
    <row r="3750" ht="15" customHeight="1">
      <c r="A3750" t="inlineStr">
        <is>
          <t>A 62445-2021</t>
        </is>
      </c>
      <c r="B3750" s="1" t="n">
        <v>44503</v>
      </c>
      <c r="C3750" s="1" t="n">
        <v>45211</v>
      </c>
      <c r="D3750" t="inlineStr">
        <is>
          <t>ÖSTERGÖTLANDS LÄN</t>
        </is>
      </c>
      <c r="E3750" t="inlineStr">
        <is>
          <t>FINSPÅNG</t>
        </is>
      </c>
      <c r="G3750" t="n">
        <v>0.4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s="2" t="inlineStr"/>
    </row>
    <row r="3751" ht="15" customHeight="1">
      <c r="A3751" t="inlineStr">
        <is>
          <t>A 62549-2021</t>
        </is>
      </c>
      <c r="B3751" s="1" t="n">
        <v>44503</v>
      </c>
      <c r="C3751" s="1" t="n">
        <v>45211</v>
      </c>
      <c r="D3751" t="inlineStr">
        <is>
          <t>ÖSTERGÖTLANDS LÄN</t>
        </is>
      </c>
      <c r="E3751" t="inlineStr">
        <is>
          <t>MOTALA</t>
        </is>
      </c>
      <c r="G3751" t="n">
        <v>1.8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s="2" t="inlineStr"/>
    </row>
    <row r="3752" ht="15" customHeight="1">
      <c r="A3752" t="inlineStr">
        <is>
          <t>A 62574-2021</t>
        </is>
      </c>
      <c r="B3752" s="1" t="n">
        <v>44503</v>
      </c>
      <c r="C3752" s="1" t="n">
        <v>45211</v>
      </c>
      <c r="D3752" t="inlineStr">
        <is>
          <t>ÖSTERGÖTLANDS LÄN</t>
        </is>
      </c>
      <c r="E3752" t="inlineStr">
        <is>
          <t>NORRKÖPING</t>
        </is>
      </c>
      <c r="F3752" t="inlineStr">
        <is>
          <t>Holmen skog AB</t>
        </is>
      </c>
      <c r="G3752" t="n">
        <v>1.3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s="2" t="inlineStr"/>
    </row>
    <row r="3753" ht="15" customHeight="1">
      <c r="A3753" t="inlineStr">
        <is>
          <t>A 62597-2021</t>
        </is>
      </c>
      <c r="B3753" s="1" t="n">
        <v>44503</v>
      </c>
      <c r="C3753" s="1" t="n">
        <v>45211</v>
      </c>
      <c r="D3753" t="inlineStr">
        <is>
          <t>ÖSTERGÖTLANDS LÄN</t>
        </is>
      </c>
      <c r="E3753" t="inlineStr">
        <is>
          <t>FINSPÅNG</t>
        </is>
      </c>
      <c r="F3753" t="inlineStr">
        <is>
          <t>Holmen skog AB</t>
        </is>
      </c>
      <c r="G3753" t="n">
        <v>0.4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s="2" t="inlineStr"/>
    </row>
    <row r="3754" ht="15" customHeight="1">
      <c r="A3754" t="inlineStr">
        <is>
          <t>A 62548-2021</t>
        </is>
      </c>
      <c r="B3754" s="1" t="n">
        <v>44503</v>
      </c>
      <c r="C3754" s="1" t="n">
        <v>45211</v>
      </c>
      <c r="D3754" t="inlineStr">
        <is>
          <t>ÖSTERGÖTLANDS LÄN</t>
        </is>
      </c>
      <c r="E3754" t="inlineStr">
        <is>
          <t>MOTALA</t>
        </is>
      </c>
      <c r="G3754" t="n">
        <v>1.2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s="2" t="inlineStr"/>
    </row>
    <row r="3755" ht="15" customHeight="1">
      <c r="A3755" t="inlineStr">
        <is>
          <t>A 62509-2021</t>
        </is>
      </c>
      <c r="B3755" s="1" t="n">
        <v>44503</v>
      </c>
      <c r="C3755" s="1" t="n">
        <v>45211</v>
      </c>
      <c r="D3755" t="inlineStr">
        <is>
          <t>ÖSTERGÖTLANDS LÄN</t>
        </is>
      </c>
      <c r="E3755" t="inlineStr">
        <is>
          <t>YDRE</t>
        </is>
      </c>
      <c r="F3755" t="inlineStr">
        <is>
          <t>Sveaskog</t>
        </is>
      </c>
      <c r="G3755" t="n">
        <v>3.5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s="2" t="inlineStr"/>
    </row>
    <row r="3756" ht="15" customHeight="1">
      <c r="A3756" t="inlineStr">
        <is>
          <t>A 62550-2021</t>
        </is>
      </c>
      <c r="B3756" s="1" t="n">
        <v>44503</v>
      </c>
      <c r="C3756" s="1" t="n">
        <v>45211</v>
      </c>
      <c r="D3756" t="inlineStr">
        <is>
          <t>ÖSTERGÖTLANDS LÄN</t>
        </is>
      </c>
      <c r="E3756" t="inlineStr">
        <is>
          <t>MOTALA</t>
        </is>
      </c>
      <c r="G3756" t="n">
        <v>1.2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s="2" t="inlineStr"/>
    </row>
    <row r="3757" ht="15" customHeight="1">
      <c r="A3757" t="inlineStr">
        <is>
          <t>A 62746-2021</t>
        </is>
      </c>
      <c r="B3757" s="1" t="n">
        <v>44503</v>
      </c>
      <c r="C3757" s="1" t="n">
        <v>45211</v>
      </c>
      <c r="D3757" t="inlineStr">
        <is>
          <t>ÖSTERGÖTLANDS LÄN</t>
        </is>
      </c>
      <c r="E3757" t="inlineStr">
        <is>
          <t>NORRKÖPING</t>
        </is>
      </c>
      <c r="F3757" t="inlineStr">
        <is>
          <t>Allmännings- och besparingsskogar</t>
        </is>
      </c>
      <c r="G3757" t="n">
        <v>15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s="2" t="inlineStr"/>
    </row>
    <row r="3758" ht="15" customHeight="1">
      <c r="A3758" t="inlineStr">
        <is>
          <t>A 62736-2021</t>
        </is>
      </c>
      <c r="B3758" s="1" t="n">
        <v>44504</v>
      </c>
      <c r="C3758" s="1" t="n">
        <v>45211</v>
      </c>
      <c r="D3758" t="inlineStr">
        <is>
          <t>ÖSTERGÖTLANDS LÄN</t>
        </is>
      </c>
      <c r="E3758" t="inlineStr">
        <is>
          <t>FINSPÅNG</t>
        </is>
      </c>
      <c r="F3758" t="inlineStr">
        <is>
          <t>Holmen skog AB</t>
        </is>
      </c>
      <c r="G3758" t="n">
        <v>1.2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s="2" t="inlineStr"/>
    </row>
    <row r="3759" ht="15" customHeight="1">
      <c r="A3759" t="inlineStr">
        <is>
          <t>A 62808-2021</t>
        </is>
      </c>
      <c r="B3759" s="1" t="n">
        <v>44504</v>
      </c>
      <c r="C3759" s="1" t="n">
        <v>45211</v>
      </c>
      <c r="D3759" t="inlineStr">
        <is>
          <t>ÖSTERGÖTLANDS LÄN</t>
        </is>
      </c>
      <c r="E3759" t="inlineStr">
        <is>
          <t>NORRKÖPING</t>
        </is>
      </c>
      <c r="F3759" t="inlineStr">
        <is>
          <t>Allmännings- och besparingsskogar</t>
        </is>
      </c>
      <c r="G3759" t="n">
        <v>9.300000000000001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s="2" t="inlineStr"/>
    </row>
    <row r="3760" ht="15" customHeight="1">
      <c r="A3760" t="inlineStr">
        <is>
          <t>A 62925-2021</t>
        </is>
      </c>
      <c r="B3760" s="1" t="n">
        <v>44504</v>
      </c>
      <c r="C3760" s="1" t="n">
        <v>45211</v>
      </c>
      <c r="D3760" t="inlineStr">
        <is>
          <t>ÖSTERGÖTLANDS LÄN</t>
        </is>
      </c>
      <c r="E3760" t="inlineStr">
        <is>
          <t>LINKÖPING</t>
        </is>
      </c>
      <c r="F3760" t="inlineStr">
        <is>
          <t>Övriga Aktiebolag</t>
        </is>
      </c>
      <c r="G3760" t="n">
        <v>1.7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s="2" t="inlineStr"/>
    </row>
    <row r="3761" ht="15" customHeight="1">
      <c r="A3761" t="inlineStr">
        <is>
          <t>A 62919-2021</t>
        </is>
      </c>
      <c r="B3761" s="1" t="n">
        <v>44504</v>
      </c>
      <c r="C3761" s="1" t="n">
        <v>45211</v>
      </c>
      <c r="D3761" t="inlineStr">
        <is>
          <t>ÖSTERGÖTLANDS LÄN</t>
        </is>
      </c>
      <c r="E3761" t="inlineStr">
        <is>
          <t>ÖDESHÖG</t>
        </is>
      </c>
      <c r="G3761" t="n">
        <v>1.3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s="2" t="inlineStr"/>
    </row>
    <row r="3762" ht="15" customHeight="1">
      <c r="A3762" t="inlineStr">
        <is>
          <t>A 62973-2021</t>
        </is>
      </c>
      <c r="B3762" s="1" t="n">
        <v>44504</v>
      </c>
      <c r="C3762" s="1" t="n">
        <v>45211</v>
      </c>
      <c r="D3762" t="inlineStr">
        <is>
          <t>ÖSTERGÖTLANDS LÄN</t>
        </is>
      </c>
      <c r="E3762" t="inlineStr">
        <is>
          <t>NORRKÖPING</t>
        </is>
      </c>
      <c r="F3762" t="inlineStr">
        <is>
          <t>Allmännings- och besparingsskogar</t>
        </is>
      </c>
      <c r="G3762" t="n">
        <v>3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s="2" t="inlineStr"/>
    </row>
    <row r="3763" ht="15" customHeight="1">
      <c r="A3763" t="inlineStr">
        <is>
          <t>A 63146-2021</t>
        </is>
      </c>
      <c r="B3763" s="1" t="n">
        <v>44505</v>
      </c>
      <c r="C3763" s="1" t="n">
        <v>45211</v>
      </c>
      <c r="D3763" t="inlineStr">
        <is>
          <t>ÖSTERGÖTLANDS LÄN</t>
        </is>
      </c>
      <c r="E3763" t="inlineStr">
        <is>
          <t>SÖDERKÖPING</t>
        </is>
      </c>
      <c r="G3763" t="n">
        <v>1.3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s="2" t="inlineStr"/>
    </row>
    <row r="3764" ht="15" customHeight="1">
      <c r="A3764" t="inlineStr">
        <is>
          <t>A 62974-2021</t>
        </is>
      </c>
      <c r="B3764" s="1" t="n">
        <v>44505</v>
      </c>
      <c r="C3764" s="1" t="n">
        <v>45211</v>
      </c>
      <c r="D3764" t="inlineStr">
        <is>
          <t>ÖSTERGÖTLANDS LÄN</t>
        </is>
      </c>
      <c r="E3764" t="inlineStr">
        <is>
          <t>KINDA</t>
        </is>
      </c>
      <c r="G3764" t="n">
        <v>3.8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s="2" t="inlineStr"/>
    </row>
    <row r="3765" ht="15" customHeight="1">
      <c r="A3765" t="inlineStr">
        <is>
          <t>A 63202-2021</t>
        </is>
      </c>
      <c r="B3765" s="1" t="n">
        <v>44507</v>
      </c>
      <c r="C3765" s="1" t="n">
        <v>45211</v>
      </c>
      <c r="D3765" t="inlineStr">
        <is>
          <t>ÖSTERGÖTLANDS LÄN</t>
        </is>
      </c>
      <c r="E3765" t="inlineStr">
        <is>
          <t>BOXHOLM</t>
        </is>
      </c>
      <c r="G3765" t="n">
        <v>1.6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s="2" t="inlineStr"/>
    </row>
    <row r="3766" ht="15" customHeight="1">
      <c r="A3766" t="inlineStr">
        <is>
          <t>A 63321-2021</t>
        </is>
      </c>
      <c r="B3766" s="1" t="n">
        <v>44508</v>
      </c>
      <c r="C3766" s="1" t="n">
        <v>45211</v>
      </c>
      <c r="D3766" t="inlineStr">
        <is>
          <t>ÖSTERGÖTLANDS LÄN</t>
        </is>
      </c>
      <c r="E3766" t="inlineStr">
        <is>
          <t>FINSPÅNG</t>
        </is>
      </c>
      <c r="G3766" t="n">
        <v>2.9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s="2" t="inlineStr"/>
    </row>
    <row r="3767" ht="15" customHeight="1">
      <c r="A3767" t="inlineStr">
        <is>
          <t>A 63845-2021</t>
        </is>
      </c>
      <c r="B3767" s="1" t="n">
        <v>44509</v>
      </c>
      <c r="C3767" s="1" t="n">
        <v>45211</v>
      </c>
      <c r="D3767" t="inlineStr">
        <is>
          <t>ÖSTERGÖTLANDS LÄN</t>
        </is>
      </c>
      <c r="E3767" t="inlineStr">
        <is>
          <t>LINKÖPING</t>
        </is>
      </c>
      <c r="G3767" t="n">
        <v>5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s="2" t="inlineStr"/>
    </row>
    <row r="3768" ht="15" customHeight="1">
      <c r="A3768" t="inlineStr">
        <is>
          <t>A 63935-2021</t>
        </is>
      </c>
      <c r="B3768" s="1" t="n">
        <v>44509</v>
      </c>
      <c r="C3768" s="1" t="n">
        <v>45211</v>
      </c>
      <c r="D3768" t="inlineStr">
        <is>
          <t>ÖSTERGÖTLANDS LÄN</t>
        </is>
      </c>
      <c r="E3768" t="inlineStr">
        <is>
          <t>LINKÖPING</t>
        </is>
      </c>
      <c r="F3768" t="inlineStr">
        <is>
          <t>Övriga statliga verk och myndigheter</t>
        </is>
      </c>
      <c r="G3768" t="n">
        <v>2.8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s="2" t="inlineStr"/>
    </row>
    <row r="3769" ht="15" customHeight="1">
      <c r="A3769" t="inlineStr">
        <is>
          <t>A 64267-2021</t>
        </is>
      </c>
      <c r="B3769" s="1" t="n">
        <v>44510</v>
      </c>
      <c r="C3769" s="1" t="n">
        <v>45211</v>
      </c>
      <c r="D3769" t="inlineStr">
        <is>
          <t>ÖSTERGÖTLANDS LÄN</t>
        </is>
      </c>
      <c r="E3769" t="inlineStr">
        <is>
          <t>LINKÖPING</t>
        </is>
      </c>
      <c r="G3769" t="n">
        <v>3.1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s="2" t="inlineStr"/>
    </row>
    <row r="3770" ht="15" customHeight="1">
      <c r="A3770" t="inlineStr">
        <is>
          <t>A 64195-2021</t>
        </is>
      </c>
      <c r="B3770" s="1" t="n">
        <v>44510</v>
      </c>
      <c r="C3770" s="1" t="n">
        <v>45211</v>
      </c>
      <c r="D3770" t="inlineStr">
        <is>
          <t>ÖSTERGÖTLANDS LÄN</t>
        </is>
      </c>
      <c r="E3770" t="inlineStr">
        <is>
          <t>LINKÖPING</t>
        </is>
      </c>
      <c r="G3770" t="n">
        <v>1.3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s="2" t="inlineStr"/>
    </row>
    <row r="3771" ht="15" customHeight="1">
      <c r="A3771" t="inlineStr">
        <is>
          <t>A 64269-2021</t>
        </is>
      </c>
      <c r="B3771" s="1" t="n">
        <v>44510</v>
      </c>
      <c r="C3771" s="1" t="n">
        <v>45211</v>
      </c>
      <c r="D3771" t="inlineStr">
        <is>
          <t>ÖSTERGÖTLANDS LÄN</t>
        </is>
      </c>
      <c r="E3771" t="inlineStr">
        <is>
          <t>LINKÖPING</t>
        </is>
      </c>
      <c r="G3771" t="n">
        <v>1.9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s="2" t="inlineStr"/>
    </row>
    <row r="3772" ht="15" customHeight="1">
      <c r="A3772" t="inlineStr">
        <is>
          <t>A 64263-2021</t>
        </is>
      </c>
      <c r="B3772" s="1" t="n">
        <v>44510</v>
      </c>
      <c r="C3772" s="1" t="n">
        <v>45211</v>
      </c>
      <c r="D3772" t="inlineStr">
        <is>
          <t>ÖSTERGÖTLANDS LÄN</t>
        </is>
      </c>
      <c r="E3772" t="inlineStr">
        <is>
          <t>YDRE</t>
        </is>
      </c>
      <c r="G3772" t="n">
        <v>1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s="2" t="inlineStr"/>
    </row>
    <row r="3773" ht="15" customHeight="1">
      <c r="A3773" t="inlineStr">
        <is>
          <t>A 64441-2021</t>
        </is>
      </c>
      <c r="B3773" s="1" t="n">
        <v>44511</v>
      </c>
      <c r="C3773" s="1" t="n">
        <v>45211</v>
      </c>
      <c r="D3773" t="inlineStr">
        <is>
          <t>ÖSTERGÖTLANDS LÄN</t>
        </is>
      </c>
      <c r="E3773" t="inlineStr">
        <is>
          <t>LINKÖPING</t>
        </is>
      </c>
      <c r="G3773" t="n">
        <v>2.4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s="2" t="inlineStr"/>
    </row>
    <row r="3774" ht="15" customHeight="1">
      <c r="A3774" t="inlineStr">
        <is>
          <t>A 64622-2021</t>
        </is>
      </c>
      <c r="B3774" s="1" t="n">
        <v>44511</v>
      </c>
      <c r="C3774" s="1" t="n">
        <v>45211</v>
      </c>
      <c r="D3774" t="inlineStr">
        <is>
          <t>ÖSTERGÖTLANDS LÄN</t>
        </is>
      </c>
      <c r="E3774" t="inlineStr">
        <is>
          <t>ÖDESHÖG</t>
        </is>
      </c>
      <c r="G3774" t="n">
        <v>1.8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s="2" t="inlineStr"/>
    </row>
    <row r="3775" ht="15" customHeight="1">
      <c r="A3775" t="inlineStr">
        <is>
          <t>A 64802-2021</t>
        </is>
      </c>
      <c r="B3775" s="1" t="n">
        <v>44512</v>
      </c>
      <c r="C3775" s="1" t="n">
        <v>45211</v>
      </c>
      <c r="D3775" t="inlineStr">
        <is>
          <t>ÖSTERGÖTLANDS LÄN</t>
        </is>
      </c>
      <c r="E3775" t="inlineStr">
        <is>
          <t>ÖDESHÖG</t>
        </is>
      </c>
      <c r="G3775" t="n">
        <v>2.5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s="2" t="inlineStr"/>
    </row>
    <row r="3776" ht="15" customHeight="1">
      <c r="A3776" t="inlineStr">
        <is>
          <t>A 64898-2021</t>
        </is>
      </c>
      <c r="B3776" s="1" t="n">
        <v>44512</v>
      </c>
      <c r="C3776" s="1" t="n">
        <v>45211</v>
      </c>
      <c r="D3776" t="inlineStr">
        <is>
          <t>ÖSTERGÖTLANDS LÄN</t>
        </is>
      </c>
      <c r="E3776" t="inlineStr">
        <is>
          <t>NORRKÖPING</t>
        </is>
      </c>
      <c r="F3776" t="inlineStr">
        <is>
          <t>Holmen skog AB</t>
        </is>
      </c>
      <c r="G3776" t="n">
        <v>0.6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s="2" t="inlineStr"/>
    </row>
    <row r="3777" ht="15" customHeight="1">
      <c r="A3777" t="inlineStr">
        <is>
          <t>A 65396-2021</t>
        </is>
      </c>
      <c r="B3777" s="1" t="n">
        <v>44515</v>
      </c>
      <c r="C3777" s="1" t="n">
        <v>45211</v>
      </c>
      <c r="D3777" t="inlineStr">
        <is>
          <t>ÖSTERGÖTLANDS LÄN</t>
        </is>
      </c>
      <c r="E3777" t="inlineStr">
        <is>
          <t>LINKÖPING</t>
        </is>
      </c>
      <c r="F3777" t="inlineStr">
        <is>
          <t>Övriga statliga verk och myndigheter</t>
        </is>
      </c>
      <c r="G3777" t="n">
        <v>4.2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s="2" t="inlineStr"/>
    </row>
    <row r="3778" ht="15" customHeight="1">
      <c r="A3778" t="inlineStr">
        <is>
          <t>A 65336-2021</t>
        </is>
      </c>
      <c r="B3778" s="1" t="n">
        <v>44515</v>
      </c>
      <c r="C3778" s="1" t="n">
        <v>45211</v>
      </c>
      <c r="D3778" t="inlineStr">
        <is>
          <t>ÖSTERGÖTLANDS LÄN</t>
        </is>
      </c>
      <c r="E3778" t="inlineStr">
        <is>
          <t>NORRKÖPING</t>
        </is>
      </c>
      <c r="F3778" t="inlineStr">
        <is>
          <t>Holmen skog AB</t>
        </is>
      </c>
      <c r="G3778" t="n">
        <v>0.8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s="2" t="inlineStr"/>
    </row>
    <row r="3779" ht="15" customHeight="1">
      <c r="A3779" t="inlineStr">
        <is>
          <t>A 65397-2021</t>
        </is>
      </c>
      <c r="B3779" s="1" t="n">
        <v>44515</v>
      </c>
      <c r="C3779" s="1" t="n">
        <v>45211</v>
      </c>
      <c r="D3779" t="inlineStr">
        <is>
          <t>ÖSTERGÖTLANDS LÄN</t>
        </is>
      </c>
      <c r="E3779" t="inlineStr">
        <is>
          <t>LINKÖPING</t>
        </is>
      </c>
      <c r="F3779" t="inlineStr">
        <is>
          <t>Övriga statliga verk och myndigheter</t>
        </is>
      </c>
      <c r="G3779" t="n">
        <v>1.5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s="2" t="inlineStr"/>
    </row>
    <row r="3780" ht="15" customHeight="1">
      <c r="A3780" t="inlineStr">
        <is>
          <t>A 65337-2021</t>
        </is>
      </c>
      <c r="B3780" s="1" t="n">
        <v>44515</v>
      </c>
      <c r="C3780" s="1" t="n">
        <v>45211</v>
      </c>
      <c r="D3780" t="inlineStr">
        <is>
          <t>ÖSTERGÖTLANDS LÄN</t>
        </is>
      </c>
      <c r="E3780" t="inlineStr">
        <is>
          <t>YDRE</t>
        </is>
      </c>
      <c r="G3780" t="n">
        <v>0.5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s="2" t="inlineStr"/>
    </row>
    <row r="3781" ht="15" customHeight="1">
      <c r="A3781" t="inlineStr">
        <is>
          <t>A 65369-2021</t>
        </is>
      </c>
      <c r="B3781" s="1" t="n">
        <v>44515</v>
      </c>
      <c r="C3781" s="1" t="n">
        <v>45211</v>
      </c>
      <c r="D3781" t="inlineStr">
        <is>
          <t>ÖSTERGÖTLANDS LÄN</t>
        </is>
      </c>
      <c r="E3781" t="inlineStr">
        <is>
          <t>SÖDERKÖPING</t>
        </is>
      </c>
      <c r="G3781" t="n">
        <v>0.8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s="2" t="inlineStr"/>
    </row>
    <row r="3782" ht="15" customHeight="1">
      <c r="A3782" t="inlineStr">
        <is>
          <t>A 65394-2021</t>
        </is>
      </c>
      <c r="B3782" s="1" t="n">
        <v>44515</v>
      </c>
      <c r="C3782" s="1" t="n">
        <v>45211</v>
      </c>
      <c r="D3782" t="inlineStr">
        <is>
          <t>ÖSTERGÖTLANDS LÄN</t>
        </is>
      </c>
      <c r="E3782" t="inlineStr">
        <is>
          <t>LINKÖPING</t>
        </is>
      </c>
      <c r="F3782" t="inlineStr">
        <is>
          <t>Övriga statliga verk och myndigheter</t>
        </is>
      </c>
      <c r="G3782" t="n">
        <v>2.2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s="2" t="inlineStr"/>
    </row>
    <row r="3783" ht="15" customHeight="1">
      <c r="A3783" t="inlineStr">
        <is>
          <t>A 65398-2021</t>
        </is>
      </c>
      <c r="B3783" s="1" t="n">
        <v>44515</v>
      </c>
      <c r="C3783" s="1" t="n">
        <v>45211</v>
      </c>
      <c r="D3783" t="inlineStr">
        <is>
          <t>ÖSTERGÖTLANDS LÄN</t>
        </is>
      </c>
      <c r="E3783" t="inlineStr">
        <is>
          <t>LINKÖPING</t>
        </is>
      </c>
      <c r="F3783" t="inlineStr">
        <is>
          <t>Övriga statliga verk och myndigheter</t>
        </is>
      </c>
      <c r="G3783" t="n">
        <v>2.4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s="2" t="inlineStr"/>
    </row>
    <row r="3784" ht="15" customHeight="1">
      <c r="A3784" t="inlineStr">
        <is>
          <t>A 65333-2021</t>
        </is>
      </c>
      <c r="B3784" s="1" t="n">
        <v>44515</v>
      </c>
      <c r="C3784" s="1" t="n">
        <v>45211</v>
      </c>
      <c r="D3784" t="inlineStr">
        <is>
          <t>ÖSTERGÖTLANDS LÄN</t>
        </is>
      </c>
      <c r="E3784" t="inlineStr">
        <is>
          <t>BOXHOLM</t>
        </is>
      </c>
      <c r="G3784" t="n">
        <v>2.4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s="2" t="inlineStr"/>
    </row>
    <row r="3785" ht="15" customHeight="1">
      <c r="A3785" t="inlineStr">
        <is>
          <t>A 65395-2021</t>
        </is>
      </c>
      <c r="B3785" s="1" t="n">
        <v>44515</v>
      </c>
      <c r="C3785" s="1" t="n">
        <v>45211</v>
      </c>
      <c r="D3785" t="inlineStr">
        <is>
          <t>ÖSTERGÖTLANDS LÄN</t>
        </is>
      </c>
      <c r="E3785" t="inlineStr">
        <is>
          <t>LINKÖPING</t>
        </is>
      </c>
      <c r="F3785" t="inlineStr">
        <is>
          <t>Övriga statliga verk och myndigheter</t>
        </is>
      </c>
      <c r="G3785" t="n">
        <v>0.7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s="2" t="inlineStr"/>
    </row>
    <row r="3786" ht="15" customHeight="1">
      <c r="A3786" t="inlineStr">
        <is>
          <t>A 65399-2021</t>
        </is>
      </c>
      <c r="B3786" s="1" t="n">
        <v>44515</v>
      </c>
      <c r="C3786" s="1" t="n">
        <v>45211</v>
      </c>
      <c r="D3786" t="inlineStr">
        <is>
          <t>ÖSTERGÖTLANDS LÄN</t>
        </is>
      </c>
      <c r="E3786" t="inlineStr">
        <is>
          <t>LINKÖPING</t>
        </is>
      </c>
      <c r="F3786" t="inlineStr">
        <is>
          <t>Övriga statliga verk och myndigheter</t>
        </is>
      </c>
      <c r="G3786" t="n">
        <v>12.8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s="2" t="inlineStr"/>
    </row>
    <row r="3787" ht="15" customHeight="1">
      <c r="A3787" t="inlineStr">
        <is>
          <t>A 65590-2021</t>
        </is>
      </c>
      <c r="B3787" s="1" t="n">
        <v>44516</v>
      </c>
      <c r="C3787" s="1" t="n">
        <v>45211</v>
      </c>
      <c r="D3787" t="inlineStr">
        <is>
          <t>ÖSTERGÖTLANDS LÄN</t>
        </is>
      </c>
      <c r="E3787" t="inlineStr">
        <is>
          <t>ÅTVIDABERG</t>
        </is>
      </c>
      <c r="F3787" t="inlineStr">
        <is>
          <t>Sveaskog</t>
        </is>
      </c>
      <c r="G3787" t="n">
        <v>0.6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s="2" t="inlineStr"/>
    </row>
    <row r="3788" ht="15" customHeight="1">
      <c r="A3788" t="inlineStr">
        <is>
          <t>A 65643-2021</t>
        </is>
      </c>
      <c r="B3788" s="1" t="n">
        <v>44516</v>
      </c>
      <c r="C3788" s="1" t="n">
        <v>45211</v>
      </c>
      <c r="D3788" t="inlineStr">
        <is>
          <t>ÖSTERGÖTLANDS LÄN</t>
        </is>
      </c>
      <c r="E3788" t="inlineStr">
        <is>
          <t>LINKÖPING</t>
        </is>
      </c>
      <c r="G3788" t="n">
        <v>1.2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s="2" t="inlineStr"/>
    </row>
    <row r="3789" ht="15" customHeight="1">
      <c r="A3789" t="inlineStr">
        <is>
          <t>A 65566-2021</t>
        </is>
      </c>
      <c r="B3789" s="1" t="n">
        <v>44516</v>
      </c>
      <c r="C3789" s="1" t="n">
        <v>45211</v>
      </c>
      <c r="D3789" t="inlineStr">
        <is>
          <t>ÖSTERGÖTLANDS LÄN</t>
        </is>
      </c>
      <c r="E3789" t="inlineStr">
        <is>
          <t>MOTALA</t>
        </is>
      </c>
      <c r="G3789" t="n">
        <v>3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s="2" t="inlineStr"/>
    </row>
    <row r="3790" ht="15" customHeight="1">
      <c r="A3790" t="inlineStr">
        <is>
          <t>A 65594-2021</t>
        </is>
      </c>
      <c r="B3790" s="1" t="n">
        <v>44516</v>
      </c>
      <c r="C3790" s="1" t="n">
        <v>45211</v>
      </c>
      <c r="D3790" t="inlineStr">
        <is>
          <t>ÖSTERGÖTLANDS LÄN</t>
        </is>
      </c>
      <c r="E3790" t="inlineStr">
        <is>
          <t>ÅTVIDABERG</t>
        </is>
      </c>
      <c r="F3790" t="inlineStr">
        <is>
          <t>Sveaskog</t>
        </is>
      </c>
      <c r="G3790" t="n">
        <v>0.9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s="2" t="inlineStr"/>
    </row>
    <row r="3791" ht="15" customHeight="1">
      <c r="A3791" t="inlineStr">
        <is>
          <t>A 65561-2021</t>
        </is>
      </c>
      <c r="B3791" s="1" t="n">
        <v>44516</v>
      </c>
      <c r="C3791" s="1" t="n">
        <v>45211</v>
      </c>
      <c r="D3791" t="inlineStr">
        <is>
          <t>ÖSTERGÖTLANDS LÄN</t>
        </is>
      </c>
      <c r="E3791" t="inlineStr">
        <is>
          <t>MOTALA</t>
        </is>
      </c>
      <c r="G3791" t="n">
        <v>1.5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s="2" t="inlineStr"/>
    </row>
    <row r="3792" ht="15" customHeight="1">
      <c r="A3792" t="inlineStr">
        <is>
          <t>A 65573-2021</t>
        </is>
      </c>
      <c r="B3792" s="1" t="n">
        <v>44516</v>
      </c>
      <c r="C3792" s="1" t="n">
        <v>45211</v>
      </c>
      <c r="D3792" t="inlineStr">
        <is>
          <t>ÖSTERGÖTLANDS LÄN</t>
        </is>
      </c>
      <c r="E3792" t="inlineStr">
        <is>
          <t>ÅTVIDABERG</t>
        </is>
      </c>
      <c r="F3792" t="inlineStr">
        <is>
          <t>Sveaskog</t>
        </is>
      </c>
      <c r="G3792" t="n">
        <v>2.1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s="2" t="inlineStr"/>
    </row>
    <row r="3793" ht="15" customHeight="1">
      <c r="A3793" t="inlineStr">
        <is>
          <t>A 65588-2021</t>
        </is>
      </c>
      <c r="B3793" s="1" t="n">
        <v>44516</v>
      </c>
      <c r="C3793" s="1" t="n">
        <v>45211</v>
      </c>
      <c r="D3793" t="inlineStr">
        <is>
          <t>ÖSTERGÖTLANDS LÄN</t>
        </is>
      </c>
      <c r="E3793" t="inlineStr">
        <is>
          <t>ÅTVIDABERG</t>
        </is>
      </c>
      <c r="F3793" t="inlineStr">
        <is>
          <t>Sveaskog</t>
        </is>
      </c>
      <c r="G3793" t="n">
        <v>3.2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s="2" t="inlineStr"/>
    </row>
    <row r="3794" ht="15" customHeight="1">
      <c r="A3794" t="inlineStr">
        <is>
          <t>A 65795-2021</t>
        </is>
      </c>
      <c r="B3794" s="1" t="n">
        <v>44516</v>
      </c>
      <c r="C3794" s="1" t="n">
        <v>45211</v>
      </c>
      <c r="D3794" t="inlineStr">
        <is>
          <t>ÖSTERGÖTLANDS LÄN</t>
        </is>
      </c>
      <c r="E3794" t="inlineStr">
        <is>
          <t>YDRE</t>
        </is>
      </c>
      <c r="G3794" t="n">
        <v>6.5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s="2" t="inlineStr"/>
    </row>
    <row r="3795" ht="15" customHeight="1">
      <c r="A3795" t="inlineStr">
        <is>
          <t>A 65801-2021</t>
        </is>
      </c>
      <c r="B3795" s="1" t="n">
        <v>44517</v>
      </c>
      <c r="C3795" s="1" t="n">
        <v>45211</v>
      </c>
      <c r="D3795" t="inlineStr">
        <is>
          <t>ÖSTERGÖTLANDS LÄN</t>
        </is>
      </c>
      <c r="E3795" t="inlineStr">
        <is>
          <t>NORRKÖPING</t>
        </is>
      </c>
      <c r="F3795" t="inlineStr">
        <is>
          <t>Holmen skog AB</t>
        </is>
      </c>
      <c r="G3795" t="n">
        <v>0.9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s="2" t="inlineStr"/>
    </row>
    <row r="3796" ht="15" customHeight="1">
      <c r="A3796" t="inlineStr">
        <is>
          <t>A 65921-2021</t>
        </is>
      </c>
      <c r="B3796" s="1" t="n">
        <v>44517</v>
      </c>
      <c r="C3796" s="1" t="n">
        <v>45211</v>
      </c>
      <c r="D3796" t="inlineStr">
        <is>
          <t>ÖSTERGÖTLANDS LÄN</t>
        </is>
      </c>
      <c r="E3796" t="inlineStr">
        <is>
          <t>MJÖLBY</t>
        </is>
      </c>
      <c r="G3796" t="n">
        <v>2.1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s="2" t="inlineStr"/>
    </row>
    <row r="3797" ht="15" customHeight="1">
      <c r="A3797" t="inlineStr">
        <is>
          <t>A 66014-2021</t>
        </is>
      </c>
      <c r="B3797" s="1" t="n">
        <v>44517</v>
      </c>
      <c r="C3797" s="1" t="n">
        <v>45211</v>
      </c>
      <c r="D3797" t="inlineStr">
        <is>
          <t>ÖSTERGÖTLANDS LÄN</t>
        </is>
      </c>
      <c r="E3797" t="inlineStr">
        <is>
          <t>FINSPÅNG</t>
        </is>
      </c>
      <c r="G3797" t="n">
        <v>1.8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s="2" t="inlineStr"/>
    </row>
    <row r="3798" ht="15" customHeight="1">
      <c r="A3798" t="inlineStr">
        <is>
          <t>A 66100-2021</t>
        </is>
      </c>
      <c r="B3798" s="1" t="n">
        <v>44517</v>
      </c>
      <c r="C3798" s="1" t="n">
        <v>45211</v>
      </c>
      <c r="D3798" t="inlineStr">
        <is>
          <t>ÖSTERGÖTLANDS LÄN</t>
        </is>
      </c>
      <c r="E3798" t="inlineStr">
        <is>
          <t>KINDA</t>
        </is>
      </c>
      <c r="G3798" t="n">
        <v>2.5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s="2" t="inlineStr"/>
    </row>
    <row r="3799" ht="15" customHeight="1">
      <c r="A3799" t="inlineStr">
        <is>
          <t>A 65799-2021</t>
        </is>
      </c>
      <c r="B3799" s="1" t="n">
        <v>44517</v>
      </c>
      <c r="C3799" s="1" t="n">
        <v>45211</v>
      </c>
      <c r="D3799" t="inlineStr">
        <is>
          <t>ÖSTERGÖTLANDS LÄN</t>
        </is>
      </c>
      <c r="E3799" t="inlineStr">
        <is>
          <t>NORRKÖPING</t>
        </is>
      </c>
      <c r="F3799" t="inlineStr">
        <is>
          <t>Holmen skog AB</t>
        </is>
      </c>
      <c r="G3799" t="n">
        <v>1.7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s="2" t="inlineStr"/>
    </row>
    <row r="3800" ht="15" customHeight="1">
      <c r="A3800" t="inlineStr">
        <is>
          <t>A 65828-2021</t>
        </is>
      </c>
      <c r="B3800" s="1" t="n">
        <v>44517</v>
      </c>
      <c r="C3800" s="1" t="n">
        <v>45211</v>
      </c>
      <c r="D3800" t="inlineStr">
        <is>
          <t>ÖSTERGÖTLANDS LÄN</t>
        </is>
      </c>
      <c r="E3800" t="inlineStr">
        <is>
          <t>ÅTVIDABERG</t>
        </is>
      </c>
      <c r="G3800" t="n">
        <v>1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s="2" t="inlineStr"/>
    </row>
    <row r="3801" ht="15" customHeight="1">
      <c r="A3801" t="inlineStr">
        <is>
          <t>A 65821-2021</t>
        </is>
      </c>
      <c r="B3801" s="1" t="n">
        <v>44517</v>
      </c>
      <c r="C3801" s="1" t="n">
        <v>45211</v>
      </c>
      <c r="D3801" t="inlineStr">
        <is>
          <t>ÖSTERGÖTLANDS LÄN</t>
        </is>
      </c>
      <c r="E3801" t="inlineStr">
        <is>
          <t>ÖDESHÖG</t>
        </is>
      </c>
      <c r="G3801" t="n">
        <v>0.7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s="2" t="inlineStr"/>
    </row>
    <row r="3802" ht="15" customHeight="1">
      <c r="A3802" t="inlineStr">
        <is>
          <t>A 65890-2021</t>
        </is>
      </c>
      <c r="B3802" s="1" t="n">
        <v>44517</v>
      </c>
      <c r="C3802" s="1" t="n">
        <v>45211</v>
      </c>
      <c r="D3802" t="inlineStr">
        <is>
          <t>ÖSTERGÖTLANDS LÄN</t>
        </is>
      </c>
      <c r="E3802" t="inlineStr">
        <is>
          <t>VALDEMARSVIK</t>
        </is>
      </c>
      <c r="G3802" t="n">
        <v>4.1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s="2" t="inlineStr"/>
    </row>
    <row r="3803" ht="15" customHeight="1">
      <c r="A3803" t="inlineStr">
        <is>
          <t>A 66075-2021</t>
        </is>
      </c>
      <c r="B3803" s="1" t="n">
        <v>44517</v>
      </c>
      <c r="C3803" s="1" t="n">
        <v>45211</v>
      </c>
      <c r="D3803" t="inlineStr">
        <is>
          <t>ÖSTERGÖTLANDS LÄN</t>
        </is>
      </c>
      <c r="E3803" t="inlineStr">
        <is>
          <t>SÖDERKÖPING</t>
        </is>
      </c>
      <c r="F3803" t="inlineStr">
        <is>
          <t>Kyrkan</t>
        </is>
      </c>
      <c r="G3803" t="n">
        <v>3.7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s="2" t="inlineStr"/>
    </row>
    <row r="3804" ht="15" customHeight="1">
      <c r="A3804" t="inlineStr">
        <is>
          <t>A 66356-2021</t>
        </is>
      </c>
      <c r="B3804" s="1" t="n">
        <v>44518</v>
      </c>
      <c r="C3804" s="1" t="n">
        <v>45211</v>
      </c>
      <c r="D3804" t="inlineStr">
        <is>
          <t>ÖSTERGÖTLANDS LÄN</t>
        </is>
      </c>
      <c r="E3804" t="inlineStr">
        <is>
          <t>SÖDERKÖPING</t>
        </is>
      </c>
      <c r="G3804" t="n">
        <v>1.3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s="2" t="inlineStr"/>
    </row>
    <row r="3805" ht="15" customHeight="1">
      <c r="A3805" t="inlineStr">
        <is>
          <t>A 66424-2021</t>
        </is>
      </c>
      <c r="B3805" s="1" t="n">
        <v>44518</v>
      </c>
      <c r="C3805" s="1" t="n">
        <v>45211</v>
      </c>
      <c r="D3805" t="inlineStr">
        <is>
          <t>ÖSTERGÖTLANDS LÄN</t>
        </is>
      </c>
      <c r="E3805" t="inlineStr">
        <is>
          <t>VALDEMARSVIK</t>
        </is>
      </c>
      <c r="G3805" t="n">
        <v>2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s="2" t="inlineStr"/>
    </row>
    <row r="3806" ht="15" customHeight="1">
      <c r="A3806" t="inlineStr">
        <is>
          <t>A 66516-2021</t>
        </is>
      </c>
      <c r="B3806" s="1" t="n">
        <v>44518</v>
      </c>
      <c r="C3806" s="1" t="n">
        <v>45211</v>
      </c>
      <c r="D3806" t="inlineStr">
        <is>
          <t>ÖSTERGÖTLANDS LÄN</t>
        </is>
      </c>
      <c r="E3806" t="inlineStr">
        <is>
          <t>LINKÖPING</t>
        </is>
      </c>
      <c r="G3806" t="n">
        <v>2.9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s="2" t="inlineStr"/>
    </row>
    <row r="3807" ht="15" customHeight="1">
      <c r="A3807" t="inlineStr">
        <is>
          <t>A 66362-2021</t>
        </is>
      </c>
      <c r="B3807" s="1" t="n">
        <v>44518</v>
      </c>
      <c r="C3807" s="1" t="n">
        <v>45211</v>
      </c>
      <c r="D3807" t="inlineStr">
        <is>
          <t>ÖSTERGÖTLANDS LÄN</t>
        </is>
      </c>
      <c r="E3807" t="inlineStr">
        <is>
          <t>SÖDERKÖPING</t>
        </is>
      </c>
      <c r="G3807" t="n">
        <v>1.1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s="2" t="inlineStr"/>
    </row>
    <row r="3808" ht="15" customHeight="1">
      <c r="A3808" t="inlineStr">
        <is>
          <t>A 66194-2021</t>
        </is>
      </c>
      <c r="B3808" s="1" t="n">
        <v>44518</v>
      </c>
      <c r="C3808" s="1" t="n">
        <v>45211</v>
      </c>
      <c r="D3808" t="inlineStr">
        <is>
          <t>ÖSTERGÖTLANDS LÄN</t>
        </is>
      </c>
      <c r="E3808" t="inlineStr">
        <is>
          <t>MOTALA</t>
        </is>
      </c>
      <c r="G3808" t="n">
        <v>13.6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s="2" t="inlineStr"/>
    </row>
    <row r="3809" ht="15" customHeight="1">
      <c r="A3809" t="inlineStr">
        <is>
          <t>A 66368-2021</t>
        </is>
      </c>
      <c r="B3809" s="1" t="n">
        <v>44518</v>
      </c>
      <c r="C3809" s="1" t="n">
        <v>45211</v>
      </c>
      <c r="D3809" t="inlineStr">
        <is>
          <t>ÖSTERGÖTLANDS LÄN</t>
        </is>
      </c>
      <c r="E3809" t="inlineStr">
        <is>
          <t>SÖDERKÖPING</t>
        </is>
      </c>
      <c r="G3809" t="n">
        <v>1.5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s="2" t="inlineStr"/>
    </row>
    <row r="3810" ht="15" customHeight="1">
      <c r="A3810" t="inlineStr">
        <is>
          <t>A 66429-2021</t>
        </is>
      </c>
      <c r="B3810" s="1" t="n">
        <v>44518</v>
      </c>
      <c r="C3810" s="1" t="n">
        <v>45211</v>
      </c>
      <c r="D3810" t="inlineStr">
        <is>
          <t>ÖSTERGÖTLANDS LÄN</t>
        </is>
      </c>
      <c r="E3810" t="inlineStr">
        <is>
          <t>VALDEMARSVIK</t>
        </is>
      </c>
      <c r="G3810" t="n">
        <v>2.3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s="2" t="inlineStr"/>
    </row>
    <row r="3811" ht="15" customHeight="1">
      <c r="A3811" t="inlineStr">
        <is>
          <t>A 66977-2021</t>
        </is>
      </c>
      <c r="B3811" s="1" t="n">
        <v>44522</v>
      </c>
      <c r="C3811" s="1" t="n">
        <v>45211</v>
      </c>
      <c r="D3811" t="inlineStr">
        <is>
          <t>ÖSTERGÖTLANDS LÄN</t>
        </is>
      </c>
      <c r="E3811" t="inlineStr">
        <is>
          <t>MJÖLBY</t>
        </is>
      </c>
      <c r="G3811" t="n">
        <v>0.7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s="2" t="inlineStr"/>
    </row>
    <row r="3812" ht="15" customHeight="1">
      <c r="A3812" t="inlineStr">
        <is>
          <t>A 67322-2021</t>
        </is>
      </c>
      <c r="B3812" s="1" t="n">
        <v>44523</v>
      </c>
      <c r="C3812" s="1" t="n">
        <v>45211</v>
      </c>
      <c r="D3812" t="inlineStr">
        <is>
          <t>ÖSTERGÖTLANDS LÄN</t>
        </is>
      </c>
      <c r="E3812" t="inlineStr">
        <is>
          <t>LINKÖPING</t>
        </is>
      </c>
      <c r="G3812" t="n">
        <v>0.8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s="2" t="inlineStr"/>
    </row>
    <row r="3813" ht="15" customHeight="1">
      <c r="A3813" t="inlineStr">
        <is>
          <t>A 67371-2021</t>
        </is>
      </c>
      <c r="B3813" s="1" t="n">
        <v>44523</v>
      </c>
      <c r="C3813" s="1" t="n">
        <v>45211</v>
      </c>
      <c r="D3813" t="inlineStr">
        <is>
          <t>ÖSTERGÖTLANDS LÄN</t>
        </is>
      </c>
      <c r="E3813" t="inlineStr">
        <is>
          <t>BOXHOLM</t>
        </is>
      </c>
      <c r="G3813" t="n">
        <v>3.6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s="2" t="inlineStr"/>
    </row>
    <row r="3814" ht="15" customHeight="1">
      <c r="A3814" t="inlineStr">
        <is>
          <t>A 67362-2021</t>
        </is>
      </c>
      <c r="B3814" s="1" t="n">
        <v>44523</v>
      </c>
      <c r="C3814" s="1" t="n">
        <v>45211</v>
      </c>
      <c r="D3814" t="inlineStr">
        <is>
          <t>ÖSTERGÖTLANDS LÄN</t>
        </is>
      </c>
      <c r="E3814" t="inlineStr">
        <is>
          <t>BOXHOLM</t>
        </is>
      </c>
      <c r="G3814" t="n">
        <v>1.4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s="2" t="inlineStr"/>
    </row>
    <row r="3815" ht="15" customHeight="1">
      <c r="A3815" t="inlineStr">
        <is>
          <t>A 67625-2021</t>
        </is>
      </c>
      <c r="B3815" s="1" t="n">
        <v>44524</v>
      </c>
      <c r="C3815" s="1" t="n">
        <v>45211</v>
      </c>
      <c r="D3815" t="inlineStr">
        <is>
          <t>ÖSTERGÖTLANDS LÄN</t>
        </is>
      </c>
      <c r="E3815" t="inlineStr">
        <is>
          <t>NORRKÖPING</t>
        </is>
      </c>
      <c r="G3815" t="n">
        <v>4.3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s="2" t="inlineStr"/>
    </row>
    <row r="3816" ht="15" customHeight="1">
      <c r="A3816" t="inlineStr">
        <is>
          <t>A 67646-2021</t>
        </is>
      </c>
      <c r="B3816" s="1" t="n">
        <v>44524</v>
      </c>
      <c r="C3816" s="1" t="n">
        <v>45211</v>
      </c>
      <c r="D3816" t="inlineStr">
        <is>
          <t>ÖSTERGÖTLANDS LÄN</t>
        </is>
      </c>
      <c r="E3816" t="inlineStr">
        <is>
          <t>NORRKÖPING</t>
        </is>
      </c>
      <c r="G3816" t="n">
        <v>2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s="2" t="inlineStr"/>
    </row>
    <row r="3817" ht="15" customHeight="1">
      <c r="A3817" t="inlineStr">
        <is>
          <t>A 67748-2021</t>
        </is>
      </c>
      <c r="B3817" s="1" t="n">
        <v>44525</v>
      </c>
      <c r="C3817" s="1" t="n">
        <v>45211</v>
      </c>
      <c r="D3817" t="inlineStr">
        <is>
          <t>ÖSTERGÖTLANDS LÄN</t>
        </is>
      </c>
      <c r="E3817" t="inlineStr">
        <is>
          <t>MOTALA</t>
        </is>
      </c>
      <c r="G3817" t="n">
        <v>1.6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s="2" t="inlineStr"/>
    </row>
    <row r="3818" ht="15" customHeight="1">
      <c r="A3818" t="inlineStr">
        <is>
          <t>A 67912-2021</t>
        </is>
      </c>
      <c r="B3818" s="1" t="n">
        <v>44525</v>
      </c>
      <c r="C3818" s="1" t="n">
        <v>45211</v>
      </c>
      <c r="D3818" t="inlineStr">
        <is>
          <t>ÖSTERGÖTLANDS LÄN</t>
        </is>
      </c>
      <c r="E3818" t="inlineStr">
        <is>
          <t>LINKÖPING</t>
        </is>
      </c>
      <c r="G3818" t="n">
        <v>2.4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s="2" t="inlineStr"/>
    </row>
    <row r="3819" ht="15" customHeight="1">
      <c r="A3819" t="inlineStr">
        <is>
          <t>A 67767-2021</t>
        </is>
      </c>
      <c r="B3819" s="1" t="n">
        <v>44525</v>
      </c>
      <c r="C3819" s="1" t="n">
        <v>45211</v>
      </c>
      <c r="D3819" t="inlineStr">
        <is>
          <t>ÖSTERGÖTLANDS LÄN</t>
        </is>
      </c>
      <c r="E3819" t="inlineStr">
        <is>
          <t>FINSPÅNG</t>
        </is>
      </c>
      <c r="F3819" t="inlineStr">
        <is>
          <t>Holmen skog AB</t>
        </is>
      </c>
      <c r="G3819" t="n">
        <v>1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s="2" t="inlineStr"/>
    </row>
    <row r="3820" ht="15" customHeight="1">
      <c r="A3820" t="inlineStr">
        <is>
          <t>A 67789-2021</t>
        </is>
      </c>
      <c r="B3820" s="1" t="n">
        <v>44525</v>
      </c>
      <c r="C3820" s="1" t="n">
        <v>45211</v>
      </c>
      <c r="D3820" t="inlineStr">
        <is>
          <t>ÖSTERGÖTLANDS LÄN</t>
        </is>
      </c>
      <c r="E3820" t="inlineStr">
        <is>
          <t>KINDA</t>
        </is>
      </c>
      <c r="G3820" t="n">
        <v>19.4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s="2" t="inlineStr"/>
    </row>
    <row r="3821" ht="15" customHeight="1">
      <c r="A3821" t="inlineStr">
        <is>
          <t>A 68288-2021</t>
        </is>
      </c>
      <c r="B3821" s="1" t="n">
        <v>44526</v>
      </c>
      <c r="C3821" s="1" t="n">
        <v>45211</v>
      </c>
      <c r="D3821" t="inlineStr">
        <is>
          <t>ÖSTERGÖTLANDS LÄN</t>
        </is>
      </c>
      <c r="E3821" t="inlineStr">
        <is>
          <t>MOTALA</t>
        </is>
      </c>
      <c r="G3821" t="n">
        <v>0.6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s="2" t="inlineStr"/>
    </row>
    <row r="3822" ht="15" customHeight="1">
      <c r="A3822" t="inlineStr">
        <is>
          <t>A 68348-2021</t>
        </is>
      </c>
      <c r="B3822" s="1" t="n">
        <v>44528</v>
      </c>
      <c r="C3822" s="1" t="n">
        <v>45211</v>
      </c>
      <c r="D3822" t="inlineStr">
        <is>
          <t>ÖSTERGÖTLANDS LÄN</t>
        </is>
      </c>
      <c r="E3822" t="inlineStr">
        <is>
          <t>MOTALA</t>
        </is>
      </c>
      <c r="G3822" t="n">
        <v>0.6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s="2" t="inlineStr"/>
    </row>
    <row r="3823" ht="15" customHeight="1">
      <c r="A3823" t="inlineStr">
        <is>
          <t>A 68547-2021</t>
        </is>
      </c>
      <c r="B3823" s="1" t="n">
        <v>44528</v>
      </c>
      <c r="C3823" s="1" t="n">
        <v>45211</v>
      </c>
      <c r="D3823" t="inlineStr">
        <is>
          <t>ÖSTERGÖTLANDS LÄN</t>
        </is>
      </c>
      <c r="E3823" t="inlineStr">
        <is>
          <t>ÅTVIDABERG</t>
        </is>
      </c>
      <c r="G3823" t="n">
        <v>2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s="2" t="inlineStr"/>
    </row>
    <row r="3824" ht="15" customHeight="1">
      <c r="A3824" t="inlineStr">
        <is>
          <t>A 69020-2021</t>
        </is>
      </c>
      <c r="B3824" s="1" t="n">
        <v>44530</v>
      </c>
      <c r="C3824" s="1" t="n">
        <v>45211</v>
      </c>
      <c r="D3824" t="inlineStr">
        <is>
          <t>ÖSTERGÖTLANDS LÄN</t>
        </is>
      </c>
      <c r="E3824" t="inlineStr">
        <is>
          <t>YDRE</t>
        </is>
      </c>
      <c r="G3824" t="n">
        <v>1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s="2" t="inlineStr"/>
    </row>
    <row r="3825" ht="15" customHeight="1">
      <c r="A3825" t="inlineStr">
        <is>
          <t>A 69065-2021</t>
        </is>
      </c>
      <c r="B3825" s="1" t="n">
        <v>44530</v>
      </c>
      <c r="C3825" s="1" t="n">
        <v>45211</v>
      </c>
      <c r="D3825" t="inlineStr">
        <is>
          <t>ÖSTERGÖTLANDS LÄN</t>
        </is>
      </c>
      <c r="E3825" t="inlineStr">
        <is>
          <t>NORRKÖPING</t>
        </is>
      </c>
      <c r="F3825" t="inlineStr">
        <is>
          <t>Holmen skog AB</t>
        </is>
      </c>
      <c r="G3825" t="n">
        <v>0.8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s="2" t="inlineStr"/>
    </row>
    <row r="3826" ht="15" customHeight="1">
      <c r="A3826" t="inlineStr">
        <is>
          <t>A 68936-2021</t>
        </is>
      </c>
      <c r="B3826" s="1" t="n">
        <v>44530</v>
      </c>
      <c r="C3826" s="1" t="n">
        <v>45211</v>
      </c>
      <c r="D3826" t="inlineStr">
        <is>
          <t>ÖSTERGÖTLANDS LÄN</t>
        </is>
      </c>
      <c r="E3826" t="inlineStr">
        <is>
          <t>NORRKÖPING</t>
        </is>
      </c>
      <c r="F3826" t="inlineStr">
        <is>
          <t>Holmen skog AB</t>
        </is>
      </c>
      <c r="G3826" t="n">
        <v>0.8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s="2" t="inlineStr"/>
    </row>
    <row r="3827" ht="15" customHeight="1">
      <c r="A3827" t="inlineStr">
        <is>
          <t>A 68984-2021</t>
        </is>
      </c>
      <c r="B3827" s="1" t="n">
        <v>44530</v>
      </c>
      <c r="C3827" s="1" t="n">
        <v>45211</v>
      </c>
      <c r="D3827" t="inlineStr">
        <is>
          <t>ÖSTERGÖTLANDS LÄN</t>
        </is>
      </c>
      <c r="E3827" t="inlineStr">
        <is>
          <t>SÖDERKÖPING</t>
        </is>
      </c>
      <c r="G3827" t="n">
        <v>2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s="2" t="inlineStr"/>
    </row>
    <row r="3828" ht="15" customHeight="1">
      <c r="A3828" t="inlineStr">
        <is>
          <t>A 69038-2021</t>
        </is>
      </c>
      <c r="B3828" s="1" t="n">
        <v>44530</v>
      </c>
      <c r="C3828" s="1" t="n">
        <v>45211</v>
      </c>
      <c r="D3828" t="inlineStr">
        <is>
          <t>ÖSTERGÖTLANDS LÄN</t>
        </is>
      </c>
      <c r="E3828" t="inlineStr">
        <is>
          <t>NORRKÖPING</t>
        </is>
      </c>
      <c r="F3828" t="inlineStr">
        <is>
          <t>Holmen skog AB</t>
        </is>
      </c>
      <c r="G3828" t="n">
        <v>3.5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s="2" t="inlineStr"/>
    </row>
    <row r="3829" ht="15" customHeight="1">
      <c r="A3829" t="inlineStr">
        <is>
          <t>A 69261-2021</t>
        </is>
      </c>
      <c r="B3829" s="1" t="n">
        <v>44531</v>
      </c>
      <c r="C3829" s="1" t="n">
        <v>45211</v>
      </c>
      <c r="D3829" t="inlineStr">
        <is>
          <t>ÖSTERGÖTLANDS LÄN</t>
        </is>
      </c>
      <c r="E3829" t="inlineStr">
        <is>
          <t>VALDEMARSVIK</t>
        </is>
      </c>
      <c r="G3829" t="n">
        <v>1.1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s="2" t="inlineStr"/>
    </row>
    <row r="3830" ht="15" customHeight="1">
      <c r="A3830" t="inlineStr">
        <is>
          <t>A 69425-2021</t>
        </is>
      </c>
      <c r="B3830" s="1" t="n">
        <v>44531</v>
      </c>
      <c r="C3830" s="1" t="n">
        <v>45211</v>
      </c>
      <c r="D3830" t="inlineStr">
        <is>
          <t>ÖSTERGÖTLANDS LÄN</t>
        </is>
      </c>
      <c r="E3830" t="inlineStr">
        <is>
          <t>SÖDERKÖPING</t>
        </is>
      </c>
      <c r="G3830" t="n">
        <v>0.8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s="2" t="inlineStr"/>
    </row>
    <row r="3831" ht="15" customHeight="1">
      <c r="A3831" t="inlineStr">
        <is>
          <t>A 69307-2021</t>
        </is>
      </c>
      <c r="B3831" s="1" t="n">
        <v>44531</v>
      </c>
      <c r="C3831" s="1" t="n">
        <v>45211</v>
      </c>
      <c r="D3831" t="inlineStr">
        <is>
          <t>ÖSTERGÖTLANDS LÄN</t>
        </is>
      </c>
      <c r="E3831" t="inlineStr">
        <is>
          <t>YDRE</t>
        </is>
      </c>
      <c r="G3831" t="n">
        <v>1.3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s="2" t="inlineStr"/>
    </row>
    <row r="3832" ht="15" customHeight="1">
      <c r="A3832" t="inlineStr">
        <is>
          <t>A 69343-2021</t>
        </is>
      </c>
      <c r="B3832" s="1" t="n">
        <v>44531</v>
      </c>
      <c r="C3832" s="1" t="n">
        <v>45211</v>
      </c>
      <c r="D3832" t="inlineStr">
        <is>
          <t>ÖSTERGÖTLANDS LÄN</t>
        </is>
      </c>
      <c r="E3832" t="inlineStr">
        <is>
          <t>ÅTVIDABERG</t>
        </is>
      </c>
      <c r="F3832" t="inlineStr">
        <is>
          <t>Övriga Aktiebolag</t>
        </is>
      </c>
      <c r="G3832" t="n">
        <v>1.7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s="2" t="inlineStr"/>
    </row>
    <row r="3833" ht="15" customHeight="1">
      <c r="A3833" t="inlineStr">
        <is>
          <t>A 69826-2021</t>
        </is>
      </c>
      <c r="B3833" s="1" t="n">
        <v>44532</v>
      </c>
      <c r="C3833" s="1" t="n">
        <v>45211</v>
      </c>
      <c r="D3833" t="inlineStr">
        <is>
          <t>ÖSTERGÖTLANDS LÄN</t>
        </is>
      </c>
      <c r="E3833" t="inlineStr">
        <is>
          <t>NORRKÖPING</t>
        </is>
      </c>
      <c r="G3833" t="n">
        <v>5.1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s="2" t="inlineStr"/>
    </row>
    <row r="3834" ht="15" customHeight="1">
      <c r="A3834" t="inlineStr">
        <is>
          <t>A 69717-2021</t>
        </is>
      </c>
      <c r="B3834" s="1" t="n">
        <v>44532</v>
      </c>
      <c r="C3834" s="1" t="n">
        <v>45211</v>
      </c>
      <c r="D3834" t="inlineStr">
        <is>
          <t>ÖSTERGÖTLANDS LÄN</t>
        </is>
      </c>
      <c r="E3834" t="inlineStr">
        <is>
          <t>FINSPÅNG</t>
        </is>
      </c>
      <c r="G3834" t="n">
        <v>2.7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s="2" t="inlineStr"/>
    </row>
    <row r="3835" ht="15" customHeight="1">
      <c r="A3835" t="inlineStr">
        <is>
          <t>A 69775-2021</t>
        </is>
      </c>
      <c r="B3835" s="1" t="n">
        <v>44532</v>
      </c>
      <c r="C3835" s="1" t="n">
        <v>45211</v>
      </c>
      <c r="D3835" t="inlineStr">
        <is>
          <t>ÖSTERGÖTLANDS LÄN</t>
        </is>
      </c>
      <c r="E3835" t="inlineStr">
        <is>
          <t>FINSPÅNG</t>
        </is>
      </c>
      <c r="G3835" t="n">
        <v>2.9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s="2" t="inlineStr"/>
    </row>
    <row r="3836" ht="15" customHeight="1">
      <c r="A3836" t="inlineStr">
        <is>
          <t>A 69855-2021</t>
        </is>
      </c>
      <c r="B3836" s="1" t="n">
        <v>44532</v>
      </c>
      <c r="C3836" s="1" t="n">
        <v>45211</v>
      </c>
      <c r="D3836" t="inlineStr">
        <is>
          <t>ÖSTERGÖTLANDS LÄN</t>
        </is>
      </c>
      <c r="E3836" t="inlineStr">
        <is>
          <t>ÅTVIDABERG</t>
        </is>
      </c>
      <c r="G3836" t="n">
        <v>4.2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s="2" t="inlineStr"/>
    </row>
    <row r="3837" ht="15" customHeight="1">
      <c r="A3837" t="inlineStr">
        <is>
          <t>A 69989-2021</t>
        </is>
      </c>
      <c r="B3837" s="1" t="n">
        <v>44533</v>
      </c>
      <c r="C3837" s="1" t="n">
        <v>45211</v>
      </c>
      <c r="D3837" t="inlineStr">
        <is>
          <t>ÖSTERGÖTLANDS LÄN</t>
        </is>
      </c>
      <c r="E3837" t="inlineStr">
        <is>
          <t>FINSPÅNG</t>
        </is>
      </c>
      <c r="G3837" t="n">
        <v>0.7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s="2" t="inlineStr"/>
    </row>
    <row r="3838" ht="15" customHeight="1">
      <c r="A3838" t="inlineStr">
        <is>
          <t>A 70105-2021</t>
        </is>
      </c>
      <c r="B3838" s="1" t="n">
        <v>44533</v>
      </c>
      <c r="C3838" s="1" t="n">
        <v>45211</v>
      </c>
      <c r="D3838" t="inlineStr">
        <is>
          <t>ÖSTERGÖTLANDS LÄN</t>
        </is>
      </c>
      <c r="E3838" t="inlineStr">
        <is>
          <t>FINSPÅNG</t>
        </is>
      </c>
      <c r="G3838" t="n">
        <v>1.4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s="2" t="inlineStr"/>
    </row>
    <row r="3839" ht="15" customHeight="1">
      <c r="A3839" t="inlineStr">
        <is>
          <t>A 70161-2021</t>
        </is>
      </c>
      <c r="B3839" s="1" t="n">
        <v>44533</v>
      </c>
      <c r="C3839" s="1" t="n">
        <v>45211</v>
      </c>
      <c r="D3839" t="inlineStr">
        <is>
          <t>ÖSTERGÖTLANDS LÄN</t>
        </is>
      </c>
      <c r="E3839" t="inlineStr">
        <is>
          <t>LINKÖPING</t>
        </is>
      </c>
      <c r="G3839" t="n">
        <v>2.4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s="2" t="inlineStr"/>
    </row>
    <row r="3840" ht="15" customHeight="1">
      <c r="A3840" t="inlineStr">
        <is>
          <t>A 69940-2021</t>
        </is>
      </c>
      <c r="B3840" s="1" t="n">
        <v>44533</v>
      </c>
      <c r="C3840" s="1" t="n">
        <v>45211</v>
      </c>
      <c r="D3840" t="inlineStr">
        <is>
          <t>ÖSTERGÖTLANDS LÄN</t>
        </is>
      </c>
      <c r="E3840" t="inlineStr">
        <is>
          <t>ÅTVIDABERG</t>
        </is>
      </c>
      <c r="G3840" t="n">
        <v>0.7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s="2" t="inlineStr"/>
    </row>
    <row r="3841" ht="15" customHeight="1">
      <c r="A3841" t="inlineStr">
        <is>
          <t>A 69994-2021</t>
        </is>
      </c>
      <c r="B3841" s="1" t="n">
        <v>44533</v>
      </c>
      <c r="C3841" s="1" t="n">
        <v>45211</v>
      </c>
      <c r="D3841" t="inlineStr">
        <is>
          <t>ÖSTERGÖTLANDS LÄN</t>
        </is>
      </c>
      <c r="E3841" t="inlineStr">
        <is>
          <t>FINSPÅNG</t>
        </is>
      </c>
      <c r="G3841" t="n">
        <v>0.5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s="2" t="inlineStr"/>
    </row>
    <row r="3842" ht="15" customHeight="1">
      <c r="A3842" t="inlineStr">
        <is>
          <t>A 70314-2021</t>
        </is>
      </c>
      <c r="B3842" s="1" t="n">
        <v>44536</v>
      </c>
      <c r="C3842" s="1" t="n">
        <v>45211</v>
      </c>
      <c r="D3842" t="inlineStr">
        <is>
          <t>ÖSTERGÖTLANDS LÄN</t>
        </is>
      </c>
      <c r="E3842" t="inlineStr">
        <is>
          <t>VALDEMARSVIK</t>
        </is>
      </c>
      <c r="G3842" t="n">
        <v>3.5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s="2" t="inlineStr"/>
    </row>
    <row r="3843" ht="15" customHeight="1">
      <c r="A3843" t="inlineStr">
        <is>
          <t>A 70407-2021</t>
        </is>
      </c>
      <c r="B3843" s="1" t="n">
        <v>44536</v>
      </c>
      <c r="C3843" s="1" t="n">
        <v>45211</v>
      </c>
      <c r="D3843" t="inlineStr">
        <is>
          <t>ÖSTERGÖTLANDS LÄN</t>
        </is>
      </c>
      <c r="E3843" t="inlineStr">
        <is>
          <t>FINSPÅNG</t>
        </is>
      </c>
      <c r="F3843" t="inlineStr">
        <is>
          <t>Holmen skog AB</t>
        </is>
      </c>
      <c r="G3843" t="n">
        <v>0.8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s="2" t="inlineStr"/>
    </row>
    <row r="3844" ht="15" customHeight="1">
      <c r="A3844" t="inlineStr">
        <is>
          <t>A 70378-2021</t>
        </is>
      </c>
      <c r="B3844" s="1" t="n">
        <v>44536</v>
      </c>
      <c r="C3844" s="1" t="n">
        <v>45211</v>
      </c>
      <c r="D3844" t="inlineStr">
        <is>
          <t>ÖSTERGÖTLANDS LÄN</t>
        </is>
      </c>
      <c r="E3844" t="inlineStr">
        <is>
          <t>NORRKÖPING</t>
        </is>
      </c>
      <c r="G3844" t="n">
        <v>2.2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s="2" t="inlineStr"/>
    </row>
    <row r="3845" ht="15" customHeight="1">
      <c r="A3845" t="inlineStr">
        <is>
          <t>A 70505-2021</t>
        </is>
      </c>
      <c r="B3845" s="1" t="n">
        <v>44536</v>
      </c>
      <c r="C3845" s="1" t="n">
        <v>45211</v>
      </c>
      <c r="D3845" t="inlineStr">
        <is>
          <t>ÖSTERGÖTLANDS LÄN</t>
        </is>
      </c>
      <c r="E3845" t="inlineStr">
        <is>
          <t>FINSPÅNG</t>
        </is>
      </c>
      <c r="G3845" t="n">
        <v>4.5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s="2" t="inlineStr"/>
    </row>
    <row r="3846" ht="15" customHeight="1">
      <c r="A3846" t="inlineStr">
        <is>
          <t>A 71093-2021</t>
        </is>
      </c>
      <c r="B3846" s="1" t="n">
        <v>44537</v>
      </c>
      <c r="C3846" s="1" t="n">
        <v>45211</v>
      </c>
      <c r="D3846" t="inlineStr">
        <is>
          <t>ÖSTERGÖTLANDS LÄN</t>
        </is>
      </c>
      <c r="E3846" t="inlineStr">
        <is>
          <t>NORRKÖPING</t>
        </is>
      </c>
      <c r="G3846" t="n">
        <v>2.3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s="2" t="inlineStr"/>
    </row>
    <row r="3847" ht="15" customHeight="1">
      <c r="A3847" t="inlineStr">
        <is>
          <t>A 70835-2021</t>
        </is>
      </c>
      <c r="B3847" s="1" t="n">
        <v>44537</v>
      </c>
      <c r="C3847" s="1" t="n">
        <v>45211</v>
      </c>
      <c r="D3847" t="inlineStr">
        <is>
          <t>ÖSTERGÖTLANDS LÄN</t>
        </is>
      </c>
      <c r="E3847" t="inlineStr">
        <is>
          <t>LINKÖPING</t>
        </is>
      </c>
      <c r="G3847" t="n">
        <v>2.3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s="2" t="inlineStr"/>
    </row>
    <row r="3848" ht="15" customHeight="1">
      <c r="A3848" t="inlineStr">
        <is>
          <t>A 71096-2021</t>
        </is>
      </c>
      <c r="B3848" s="1" t="n">
        <v>44537</v>
      </c>
      <c r="C3848" s="1" t="n">
        <v>45211</v>
      </c>
      <c r="D3848" t="inlineStr">
        <is>
          <t>ÖSTERGÖTLANDS LÄN</t>
        </is>
      </c>
      <c r="E3848" t="inlineStr">
        <is>
          <t>NORRKÖPING</t>
        </is>
      </c>
      <c r="G3848" t="n">
        <v>2.9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s="2" t="inlineStr"/>
    </row>
    <row r="3849" ht="15" customHeight="1">
      <c r="A3849" t="inlineStr">
        <is>
          <t>A 70564-2021</t>
        </is>
      </c>
      <c r="B3849" s="1" t="n">
        <v>44537</v>
      </c>
      <c r="C3849" s="1" t="n">
        <v>45211</v>
      </c>
      <c r="D3849" t="inlineStr">
        <is>
          <t>ÖSTERGÖTLANDS LÄN</t>
        </is>
      </c>
      <c r="E3849" t="inlineStr">
        <is>
          <t>MOTALA</t>
        </is>
      </c>
      <c r="G3849" t="n">
        <v>8.1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s="2" t="inlineStr"/>
    </row>
    <row r="3850" ht="15" customHeight="1">
      <c r="A3850" t="inlineStr">
        <is>
          <t>A 71037-2021</t>
        </is>
      </c>
      <c r="B3850" s="1" t="n">
        <v>44537</v>
      </c>
      <c r="C3850" s="1" t="n">
        <v>45211</v>
      </c>
      <c r="D3850" t="inlineStr">
        <is>
          <t>ÖSTERGÖTLANDS LÄN</t>
        </is>
      </c>
      <c r="E3850" t="inlineStr">
        <is>
          <t>BOXHOLM</t>
        </is>
      </c>
      <c r="G3850" t="n">
        <v>1.2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s="2" t="inlineStr"/>
    </row>
    <row r="3851" ht="15" customHeight="1">
      <c r="A3851" t="inlineStr">
        <is>
          <t>A 71030-2021</t>
        </is>
      </c>
      <c r="B3851" s="1" t="n">
        <v>44538</v>
      </c>
      <c r="C3851" s="1" t="n">
        <v>45211</v>
      </c>
      <c r="D3851" t="inlineStr">
        <is>
          <t>ÖSTERGÖTLANDS LÄN</t>
        </is>
      </c>
      <c r="E3851" t="inlineStr">
        <is>
          <t>BOXHOLM</t>
        </is>
      </c>
      <c r="G3851" t="n">
        <v>1.2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s="2" t="inlineStr"/>
    </row>
    <row r="3852" ht="15" customHeight="1">
      <c r="A3852" t="inlineStr">
        <is>
          <t>A 71524-2021</t>
        </is>
      </c>
      <c r="B3852" s="1" t="n">
        <v>44538</v>
      </c>
      <c r="C3852" s="1" t="n">
        <v>45211</v>
      </c>
      <c r="D3852" t="inlineStr">
        <is>
          <t>ÖSTERGÖTLANDS LÄN</t>
        </is>
      </c>
      <c r="E3852" t="inlineStr">
        <is>
          <t>YDRE</t>
        </is>
      </c>
      <c r="G3852" t="n">
        <v>0.5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s="2" t="inlineStr"/>
    </row>
    <row r="3853" ht="15" customHeight="1">
      <c r="A3853" t="inlineStr">
        <is>
          <t>A 71038-2021</t>
        </is>
      </c>
      <c r="B3853" s="1" t="n">
        <v>44538</v>
      </c>
      <c r="C3853" s="1" t="n">
        <v>45211</v>
      </c>
      <c r="D3853" t="inlineStr">
        <is>
          <t>ÖSTERGÖTLANDS LÄN</t>
        </is>
      </c>
      <c r="E3853" t="inlineStr">
        <is>
          <t>ÖDESHÖG</t>
        </is>
      </c>
      <c r="G3853" t="n">
        <v>3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s="2" t="inlineStr"/>
    </row>
    <row r="3854" ht="15" customHeight="1">
      <c r="A3854" t="inlineStr">
        <is>
          <t>A 71034-2021</t>
        </is>
      </c>
      <c r="B3854" s="1" t="n">
        <v>44538</v>
      </c>
      <c r="C3854" s="1" t="n">
        <v>45211</v>
      </c>
      <c r="D3854" t="inlineStr">
        <is>
          <t>ÖSTERGÖTLANDS LÄN</t>
        </is>
      </c>
      <c r="E3854" t="inlineStr">
        <is>
          <t>ÖDESHÖG</t>
        </is>
      </c>
      <c r="G3854" t="n">
        <v>1.8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s="2" t="inlineStr"/>
    </row>
    <row r="3855" ht="15" customHeight="1">
      <c r="A3855" t="inlineStr">
        <is>
          <t>A 71205-2021</t>
        </is>
      </c>
      <c r="B3855" s="1" t="n">
        <v>44539</v>
      </c>
      <c r="C3855" s="1" t="n">
        <v>45211</v>
      </c>
      <c r="D3855" t="inlineStr">
        <is>
          <t>ÖSTERGÖTLANDS LÄN</t>
        </is>
      </c>
      <c r="E3855" t="inlineStr">
        <is>
          <t>MOTALA</t>
        </is>
      </c>
      <c r="G3855" t="n">
        <v>2.2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s="2" t="inlineStr"/>
    </row>
    <row r="3856" ht="15" customHeight="1">
      <c r="A3856" t="inlineStr">
        <is>
          <t>A 71788-2021</t>
        </is>
      </c>
      <c r="B3856" s="1" t="n">
        <v>44539</v>
      </c>
      <c r="C3856" s="1" t="n">
        <v>45211</v>
      </c>
      <c r="D3856" t="inlineStr">
        <is>
          <t>ÖSTERGÖTLANDS LÄN</t>
        </is>
      </c>
      <c r="E3856" t="inlineStr">
        <is>
          <t>ÅTVIDABERG</t>
        </is>
      </c>
      <c r="G3856" t="n">
        <v>1.1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s="2" t="inlineStr"/>
    </row>
    <row r="3857" ht="15" customHeight="1">
      <c r="A3857" t="inlineStr">
        <is>
          <t>A 71791-2021</t>
        </is>
      </c>
      <c r="B3857" s="1" t="n">
        <v>44539</v>
      </c>
      <c r="C3857" s="1" t="n">
        <v>45211</v>
      </c>
      <c r="D3857" t="inlineStr">
        <is>
          <t>ÖSTERGÖTLANDS LÄN</t>
        </is>
      </c>
      <c r="E3857" t="inlineStr">
        <is>
          <t>ÅTVIDABERG</t>
        </is>
      </c>
      <c r="G3857" t="n">
        <v>2.3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s="2" t="inlineStr"/>
    </row>
    <row r="3858" ht="15" customHeight="1">
      <c r="A3858" t="inlineStr">
        <is>
          <t>A 71426-2021</t>
        </is>
      </c>
      <c r="B3858" s="1" t="n">
        <v>44540</v>
      </c>
      <c r="C3858" s="1" t="n">
        <v>45211</v>
      </c>
      <c r="D3858" t="inlineStr">
        <is>
          <t>ÖSTERGÖTLANDS LÄN</t>
        </is>
      </c>
      <c r="E3858" t="inlineStr">
        <is>
          <t>SÖDERKÖPING</t>
        </is>
      </c>
      <c r="G3858" t="n">
        <v>1.7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s="2" t="inlineStr"/>
    </row>
    <row r="3859" ht="15" customHeight="1">
      <c r="A3859" t="inlineStr">
        <is>
          <t>A 72026-2021</t>
        </is>
      </c>
      <c r="B3859" s="1" t="n">
        <v>44540</v>
      </c>
      <c r="C3859" s="1" t="n">
        <v>45211</v>
      </c>
      <c r="D3859" t="inlineStr">
        <is>
          <t>ÖSTERGÖTLANDS LÄN</t>
        </is>
      </c>
      <c r="E3859" t="inlineStr">
        <is>
          <t>YDRE</t>
        </is>
      </c>
      <c r="G3859" t="n">
        <v>1.8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s="2" t="inlineStr"/>
    </row>
    <row r="3860" ht="15" customHeight="1">
      <c r="A3860" t="inlineStr">
        <is>
          <t>A 71514-2021</t>
        </is>
      </c>
      <c r="B3860" s="1" t="n">
        <v>44540</v>
      </c>
      <c r="C3860" s="1" t="n">
        <v>45211</v>
      </c>
      <c r="D3860" t="inlineStr">
        <is>
          <t>ÖSTERGÖTLANDS LÄN</t>
        </is>
      </c>
      <c r="E3860" t="inlineStr">
        <is>
          <t>ÖDESHÖG</t>
        </is>
      </c>
      <c r="G3860" t="n">
        <v>0.6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s="2" t="inlineStr"/>
    </row>
    <row r="3861" ht="15" customHeight="1">
      <c r="A3861" t="inlineStr">
        <is>
          <t>A 71597-2021</t>
        </is>
      </c>
      <c r="B3861" s="1" t="n">
        <v>44541</v>
      </c>
      <c r="C3861" s="1" t="n">
        <v>45211</v>
      </c>
      <c r="D3861" t="inlineStr">
        <is>
          <t>ÖSTERGÖTLANDS LÄN</t>
        </is>
      </c>
      <c r="E3861" t="inlineStr">
        <is>
          <t>FINSPÅNG</t>
        </is>
      </c>
      <c r="G3861" t="n">
        <v>2.1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s="2" t="inlineStr"/>
    </row>
    <row r="3862" ht="15" customHeight="1">
      <c r="A3862" t="inlineStr">
        <is>
          <t>A 71768-2021</t>
        </is>
      </c>
      <c r="B3862" s="1" t="n">
        <v>44543</v>
      </c>
      <c r="C3862" s="1" t="n">
        <v>45211</v>
      </c>
      <c r="D3862" t="inlineStr">
        <is>
          <t>ÖSTERGÖTLANDS LÄN</t>
        </is>
      </c>
      <c r="E3862" t="inlineStr">
        <is>
          <t>ÅTVIDABERG</t>
        </is>
      </c>
      <c r="G3862" t="n">
        <v>0.6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s="2" t="inlineStr"/>
    </row>
    <row r="3863" ht="15" customHeight="1">
      <c r="A3863" t="inlineStr">
        <is>
          <t>A 71865-2021</t>
        </is>
      </c>
      <c r="B3863" s="1" t="n">
        <v>44543</v>
      </c>
      <c r="C3863" s="1" t="n">
        <v>45211</v>
      </c>
      <c r="D3863" t="inlineStr">
        <is>
          <t>ÖSTERGÖTLANDS LÄN</t>
        </is>
      </c>
      <c r="E3863" t="inlineStr">
        <is>
          <t>NORRKÖPING</t>
        </is>
      </c>
      <c r="F3863" t="inlineStr">
        <is>
          <t>Holmen skog AB</t>
        </is>
      </c>
      <c r="G3863" t="n">
        <v>1.2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s="2" t="inlineStr"/>
    </row>
    <row r="3864" ht="15" customHeight="1">
      <c r="A3864" t="inlineStr">
        <is>
          <t>A 71984-2021</t>
        </is>
      </c>
      <c r="B3864" s="1" t="n">
        <v>44544</v>
      </c>
      <c r="C3864" s="1" t="n">
        <v>45211</v>
      </c>
      <c r="D3864" t="inlineStr">
        <is>
          <t>ÖSTERGÖTLANDS LÄN</t>
        </is>
      </c>
      <c r="E3864" t="inlineStr">
        <is>
          <t>MOTALA</t>
        </is>
      </c>
      <c r="G3864" t="n">
        <v>0.6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s="2" t="inlineStr"/>
    </row>
    <row r="3865" ht="15" customHeight="1">
      <c r="A3865" t="inlineStr">
        <is>
          <t>A 72381-2021</t>
        </is>
      </c>
      <c r="B3865" s="1" t="n">
        <v>44545</v>
      </c>
      <c r="C3865" s="1" t="n">
        <v>45211</v>
      </c>
      <c r="D3865" t="inlineStr">
        <is>
          <t>ÖSTERGÖTLANDS LÄN</t>
        </is>
      </c>
      <c r="E3865" t="inlineStr">
        <is>
          <t>NORRKÖPING</t>
        </is>
      </c>
      <c r="F3865" t="inlineStr">
        <is>
          <t>Holmen skog AB</t>
        </is>
      </c>
      <c r="G3865" t="n">
        <v>1.7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s="2" t="inlineStr"/>
    </row>
    <row r="3866" ht="15" customHeight="1">
      <c r="A3866" t="inlineStr">
        <is>
          <t>A 72398-2021</t>
        </is>
      </c>
      <c r="B3866" s="1" t="n">
        <v>44545</v>
      </c>
      <c r="C3866" s="1" t="n">
        <v>45211</v>
      </c>
      <c r="D3866" t="inlineStr">
        <is>
          <t>ÖSTERGÖTLANDS LÄN</t>
        </is>
      </c>
      <c r="E3866" t="inlineStr">
        <is>
          <t>ÅTVIDABERG</t>
        </is>
      </c>
      <c r="G3866" t="n">
        <v>0.7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s="2" t="inlineStr"/>
    </row>
    <row r="3867" ht="15" customHeight="1">
      <c r="A3867" t="inlineStr">
        <is>
          <t>A 72290-2021</t>
        </is>
      </c>
      <c r="B3867" s="1" t="n">
        <v>44545</v>
      </c>
      <c r="C3867" s="1" t="n">
        <v>45211</v>
      </c>
      <c r="D3867" t="inlineStr">
        <is>
          <t>ÖSTERGÖTLANDS LÄN</t>
        </is>
      </c>
      <c r="E3867" t="inlineStr">
        <is>
          <t>MJÖLBY</t>
        </is>
      </c>
      <c r="G3867" t="n">
        <v>0.4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s="2" t="inlineStr"/>
    </row>
    <row r="3868" ht="15" customHeight="1">
      <c r="A3868" t="inlineStr">
        <is>
          <t>A 72597-2021</t>
        </is>
      </c>
      <c r="B3868" s="1" t="n">
        <v>44546</v>
      </c>
      <c r="C3868" s="1" t="n">
        <v>45211</v>
      </c>
      <c r="D3868" t="inlineStr">
        <is>
          <t>ÖSTERGÖTLANDS LÄN</t>
        </is>
      </c>
      <c r="E3868" t="inlineStr">
        <is>
          <t>ÅTVIDABERG</t>
        </is>
      </c>
      <c r="F3868" t="inlineStr">
        <is>
          <t>Holmen skog AB</t>
        </is>
      </c>
      <c r="G3868" t="n">
        <v>0.7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s="2" t="inlineStr"/>
    </row>
    <row r="3869" ht="15" customHeight="1">
      <c r="A3869" t="inlineStr">
        <is>
          <t>A 72696-2021</t>
        </is>
      </c>
      <c r="B3869" s="1" t="n">
        <v>44546</v>
      </c>
      <c r="C3869" s="1" t="n">
        <v>45211</v>
      </c>
      <c r="D3869" t="inlineStr">
        <is>
          <t>ÖSTERGÖTLANDS LÄN</t>
        </is>
      </c>
      <c r="E3869" t="inlineStr">
        <is>
          <t>ÅTVIDABERG</t>
        </is>
      </c>
      <c r="F3869" t="inlineStr">
        <is>
          <t>Holmen skog AB</t>
        </is>
      </c>
      <c r="G3869" t="n">
        <v>0.6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s="2" t="inlineStr"/>
    </row>
    <row r="3870" ht="15" customHeight="1">
      <c r="A3870" t="inlineStr">
        <is>
          <t>A 72716-2021</t>
        </is>
      </c>
      <c r="B3870" s="1" t="n">
        <v>44546</v>
      </c>
      <c r="C3870" s="1" t="n">
        <v>45211</v>
      </c>
      <c r="D3870" t="inlineStr">
        <is>
          <t>ÖSTERGÖTLANDS LÄN</t>
        </is>
      </c>
      <c r="E3870" t="inlineStr">
        <is>
          <t>ÅTVIDABERG</t>
        </is>
      </c>
      <c r="F3870" t="inlineStr">
        <is>
          <t>Holmen skog AB</t>
        </is>
      </c>
      <c r="G3870" t="n">
        <v>1.8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s="2" t="inlineStr"/>
    </row>
    <row r="3871" ht="15" customHeight="1">
      <c r="A3871" t="inlineStr">
        <is>
          <t>A 72853-2021</t>
        </is>
      </c>
      <c r="B3871" s="1" t="n">
        <v>44547</v>
      </c>
      <c r="C3871" s="1" t="n">
        <v>45211</v>
      </c>
      <c r="D3871" t="inlineStr">
        <is>
          <t>ÖSTERGÖTLANDS LÄN</t>
        </is>
      </c>
      <c r="E3871" t="inlineStr">
        <is>
          <t>LINKÖPING</t>
        </is>
      </c>
      <c r="F3871" t="inlineStr">
        <is>
          <t>Sveaskog</t>
        </is>
      </c>
      <c r="G3871" t="n">
        <v>4.2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s="2" t="inlineStr"/>
    </row>
    <row r="3872" ht="15" customHeight="1">
      <c r="A3872" t="inlineStr">
        <is>
          <t>A 72847-2021</t>
        </is>
      </c>
      <c r="B3872" s="1" t="n">
        <v>44547</v>
      </c>
      <c r="C3872" s="1" t="n">
        <v>45211</v>
      </c>
      <c r="D3872" t="inlineStr">
        <is>
          <t>ÖSTERGÖTLANDS LÄN</t>
        </is>
      </c>
      <c r="E3872" t="inlineStr">
        <is>
          <t>MOTALA</t>
        </is>
      </c>
      <c r="F3872" t="inlineStr">
        <is>
          <t>Sveaskog</t>
        </is>
      </c>
      <c r="G3872" t="n">
        <v>2.2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s="2" t="inlineStr"/>
    </row>
    <row r="3873" ht="15" customHeight="1">
      <c r="A3873" t="inlineStr">
        <is>
          <t>A 73655-2021</t>
        </is>
      </c>
      <c r="B3873" s="1" t="n">
        <v>44551</v>
      </c>
      <c r="C3873" s="1" t="n">
        <v>45211</v>
      </c>
      <c r="D3873" t="inlineStr">
        <is>
          <t>ÖSTERGÖTLANDS LÄN</t>
        </is>
      </c>
      <c r="E3873" t="inlineStr">
        <is>
          <t>FINSPÅNG</t>
        </is>
      </c>
      <c r="G3873" t="n">
        <v>1.3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s="2" t="inlineStr"/>
    </row>
    <row r="3874" ht="15" customHeight="1">
      <c r="A3874" t="inlineStr">
        <is>
          <t>A 73657-2021</t>
        </is>
      </c>
      <c r="B3874" s="1" t="n">
        <v>44551</v>
      </c>
      <c r="C3874" s="1" t="n">
        <v>45211</v>
      </c>
      <c r="D3874" t="inlineStr">
        <is>
          <t>ÖSTERGÖTLANDS LÄN</t>
        </is>
      </c>
      <c r="E3874" t="inlineStr">
        <is>
          <t>FINSPÅNG</t>
        </is>
      </c>
      <c r="G3874" t="n">
        <v>1.3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s="2" t="inlineStr"/>
    </row>
    <row r="3875" ht="15" customHeight="1">
      <c r="A3875" t="inlineStr">
        <is>
          <t>A 73659-2021</t>
        </is>
      </c>
      <c r="B3875" s="1" t="n">
        <v>44551</v>
      </c>
      <c r="C3875" s="1" t="n">
        <v>45211</v>
      </c>
      <c r="D3875" t="inlineStr">
        <is>
          <t>ÖSTERGÖTLANDS LÄN</t>
        </is>
      </c>
      <c r="E3875" t="inlineStr">
        <is>
          <t>FINSPÅNG</t>
        </is>
      </c>
      <c r="G3875" t="n">
        <v>4.3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s="2" t="inlineStr"/>
    </row>
    <row r="3876" ht="15" customHeight="1">
      <c r="A3876" t="inlineStr">
        <is>
          <t>A 73770-2021</t>
        </is>
      </c>
      <c r="B3876" s="1" t="n">
        <v>44552</v>
      </c>
      <c r="C3876" s="1" t="n">
        <v>45211</v>
      </c>
      <c r="D3876" t="inlineStr">
        <is>
          <t>ÖSTERGÖTLANDS LÄN</t>
        </is>
      </c>
      <c r="E3876" t="inlineStr">
        <is>
          <t>ÅTVIDABERG</t>
        </is>
      </c>
      <c r="F3876" t="inlineStr">
        <is>
          <t>Holmen skog AB</t>
        </is>
      </c>
      <c r="G3876" t="n">
        <v>1.4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s="2" t="inlineStr"/>
    </row>
    <row r="3877" ht="15" customHeight="1">
      <c r="A3877" t="inlineStr">
        <is>
          <t>A 73831-2021</t>
        </is>
      </c>
      <c r="B3877" s="1" t="n">
        <v>44552</v>
      </c>
      <c r="C3877" s="1" t="n">
        <v>45211</v>
      </c>
      <c r="D3877" t="inlineStr">
        <is>
          <t>ÖSTERGÖTLANDS LÄN</t>
        </is>
      </c>
      <c r="E3877" t="inlineStr">
        <is>
          <t>FINSPÅNG</t>
        </is>
      </c>
      <c r="G3877" t="n">
        <v>1.7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s="2" t="inlineStr"/>
    </row>
    <row r="3878" ht="15" customHeight="1">
      <c r="A3878" t="inlineStr">
        <is>
          <t>A 74111-2021</t>
        </is>
      </c>
      <c r="B3878" s="1" t="n">
        <v>44557</v>
      </c>
      <c r="C3878" s="1" t="n">
        <v>45211</v>
      </c>
      <c r="D3878" t="inlineStr">
        <is>
          <t>ÖSTERGÖTLANDS LÄN</t>
        </is>
      </c>
      <c r="E3878" t="inlineStr">
        <is>
          <t>BOXHOLM</t>
        </is>
      </c>
      <c r="G3878" t="n">
        <v>5.3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s="2" t="inlineStr"/>
    </row>
    <row r="3879" ht="15" customHeight="1">
      <c r="A3879" t="inlineStr">
        <is>
          <t>A 74010-2021</t>
        </is>
      </c>
      <c r="B3879" s="1" t="n">
        <v>44557</v>
      </c>
      <c r="C3879" s="1" t="n">
        <v>45211</v>
      </c>
      <c r="D3879" t="inlineStr">
        <is>
          <t>ÖSTERGÖTLANDS LÄN</t>
        </is>
      </c>
      <c r="E3879" t="inlineStr">
        <is>
          <t>NORRKÖPING</t>
        </is>
      </c>
      <c r="F3879" t="inlineStr">
        <is>
          <t>Holmen skog AB</t>
        </is>
      </c>
      <c r="G3879" t="n">
        <v>1.7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s="2" t="inlineStr"/>
    </row>
    <row r="3880" ht="15" customHeight="1">
      <c r="A3880" t="inlineStr">
        <is>
          <t>A 74113-2021</t>
        </is>
      </c>
      <c r="B3880" s="1" t="n">
        <v>44557</v>
      </c>
      <c r="C3880" s="1" t="n">
        <v>45211</v>
      </c>
      <c r="D3880" t="inlineStr">
        <is>
          <t>ÖSTERGÖTLANDS LÄN</t>
        </is>
      </c>
      <c r="E3880" t="inlineStr">
        <is>
          <t>NORRKÖPING</t>
        </is>
      </c>
      <c r="F3880" t="inlineStr">
        <is>
          <t>Holmen skog AB</t>
        </is>
      </c>
      <c r="G3880" t="n">
        <v>1.9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s="2" t="inlineStr"/>
    </row>
    <row r="3881" ht="15" customHeight="1">
      <c r="A3881" t="inlineStr">
        <is>
          <t>A 74128-2021</t>
        </is>
      </c>
      <c r="B3881" s="1" t="n">
        <v>44557</v>
      </c>
      <c r="C3881" s="1" t="n">
        <v>45211</v>
      </c>
      <c r="D3881" t="inlineStr">
        <is>
          <t>ÖSTERGÖTLANDS LÄN</t>
        </is>
      </c>
      <c r="E3881" t="inlineStr">
        <is>
          <t>BOXHOLM</t>
        </is>
      </c>
      <c r="G3881" t="n">
        <v>4.9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s="2" t="inlineStr"/>
    </row>
    <row r="3882" ht="15" customHeight="1">
      <c r="A3882" t="inlineStr">
        <is>
          <t>A 74160-2021</t>
        </is>
      </c>
      <c r="B3882" s="1" t="n">
        <v>44558</v>
      </c>
      <c r="C3882" s="1" t="n">
        <v>45211</v>
      </c>
      <c r="D3882" t="inlineStr">
        <is>
          <t>ÖSTERGÖTLANDS LÄN</t>
        </is>
      </c>
      <c r="E3882" t="inlineStr">
        <is>
          <t>LINKÖPING</t>
        </is>
      </c>
      <c r="G3882" t="n">
        <v>0.6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s="2" t="inlineStr"/>
    </row>
    <row r="3883" ht="15" customHeight="1">
      <c r="A3883" t="inlineStr">
        <is>
          <t>A 74446-2021</t>
        </is>
      </c>
      <c r="B3883" s="1" t="n">
        <v>44560</v>
      </c>
      <c r="C3883" s="1" t="n">
        <v>45211</v>
      </c>
      <c r="D3883" t="inlineStr">
        <is>
          <t>ÖSTERGÖTLANDS LÄN</t>
        </is>
      </c>
      <c r="E3883" t="inlineStr">
        <is>
          <t>KINDA</t>
        </is>
      </c>
      <c r="G3883" t="n">
        <v>2.2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s="2" t="inlineStr"/>
    </row>
    <row r="3884" ht="15" customHeight="1">
      <c r="A3884" t="inlineStr">
        <is>
          <t>A 107-2022</t>
        </is>
      </c>
      <c r="B3884" s="1" t="n">
        <v>44564</v>
      </c>
      <c r="C3884" s="1" t="n">
        <v>45211</v>
      </c>
      <c r="D3884" t="inlineStr">
        <is>
          <t>ÖSTERGÖTLANDS LÄN</t>
        </is>
      </c>
      <c r="E3884" t="inlineStr">
        <is>
          <t>ÖDESHÖG</t>
        </is>
      </c>
      <c r="F3884" t="inlineStr">
        <is>
          <t>Sveaskog</t>
        </is>
      </c>
      <c r="G3884" t="n">
        <v>2.2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s="2" t="inlineStr"/>
    </row>
    <row r="3885" ht="15" customHeight="1">
      <c r="A3885" t="inlineStr">
        <is>
          <t>A 109-2022</t>
        </is>
      </c>
      <c r="B3885" s="1" t="n">
        <v>44564</v>
      </c>
      <c r="C3885" s="1" t="n">
        <v>45211</v>
      </c>
      <c r="D3885" t="inlineStr">
        <is>
          <t>ÖSTERGÖTLANDS LÄN</t>
        </is>
      </c>
      <c r="E3885" t="inlineStr">
        <is>
          <t>ÅTVIDABERG</t>
        </is>
      </c>
      <c r="G3885" t="n">
        <v>5.2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s="2" t="inlineStr"/>
    </row>
    <row r="3886" ht="15" customHeight="1">
      <c r="A3886" t="inlineStr">
        <is>
          <t>A 159-2022</t>
        </is>
      </c>
      <c r="B3886" s="1" t="n">
        <v>44564</v>
      </c>
      <c r="C3886" s="1" t="n">
        <v>45211</v>
      </c>
      <c r="D3886" t="inlineStr">
        <is>
          <t>ÖSTERGÖTLANDS LÄN</t>
        </is>
      </c>
      <c r="E3886" t="inlineStr">
        <is>
          <t>LINKÖPING</t>
        </is>
      </c>
      <c r="G3886" t="n">
        <v>0.3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s="2" t="inlineStr"/>
    </row>
    <row r="3887" ht="15" customHeight="1">
      <c r="A3887" t="inlineStr">
        <is>
          <t>A 189-2022</t>
        </is>
      </c>
      <c r="B3887" s="1" t="n">
        <v>44564</v>
      </c>
      <c r="C3887" s="1" t="n">
        <v>45211</v>
      </c>
      <c r="D3887" t="inlineStr">
        <is>
          <t>ÖSTERGÖTLANDS LÄN</t>
        </is>
      </c>
      <c r="E3887" t="inlineStr">
        <is>
          <t>FINSPÅNG</t>
        </is>
      </c>
      <c r="G3887" t="n">
        <v>1.8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s="2" t="inlineStr"/>
    </row>
    <row r="3888" ht="15" customHeight="1">
      <c r="A3888" t="inlineStr">
        <is>
          <t>A 114-2022</t>
        </is>
      </c>
      <c r="B3888" s="1" t="n">
        <v>44564</v>
      </c>
      <c r="C3888" s="1" t="n">
        <v>45211</v>
      </c>
      <c r="D3888" t="inlineStr">
        <is>
          <t>ÖSTERGÖTLANDS LÄN</t>
        </is>
      </c>
      <c r="E3888" t="inlineStr">
        <is>
          <t>ÅTVIDABERG</t>
        </is>
      </c>
      <c r="G3888" t="n">
        <v>1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s="2" t="inlineStr"/>
    </row>
    <row r="3889" ht="15" customHeight="1">
      <c r="A3889" t="inlineStr">
        <is>
          <t>A 191-2022</t>
        </is>
      </c>
      <c r="B3889" s="1" t="n">
        <v>44564</v>
      </c>
      <c r="C3889" s="1" t="n">
        <v>45211</v>
      </c>
      <c r="D3889" t="inlineStr">
        <is>
          <t>ÖSTERGÖTLANDS LÄN</t>
        </is>
      </c>
      <c r="E3889" t="inlineStr">
        <is>
          <t>LINKÖPING</t>
        </is>
      </c>
      <c r="G3889" t="n">
        <v>1.5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s="2" t="inlineStr"/>
    </row>
    <row r="3890" ht="15" customHeight="1">
      <c r="A3890" t="inlineStr">
        <is>
          <t>A 261-2022</t>
        </is>
      </c>
      <c r="B3890" s="1" t="n">
        <v>44565</v>
      </c>
      <c r="C3890" s="1" t="n">
        <v>45211</v>
      </c>
      <c r="D3890" t="inlineStr">
        <is>
          <t>ÖSTERGÖTLANDS LÄN</t>
        </is>
      </c>
      <c r="E3890" t="inlineStr">
        <is>
          <t>MOTALA</t>
        </is>
      </c>
      <c r="G3890" t="n">
        <v>1.4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s="2" t="inlineStr"/>
    </row>
    <row r="3891" ht="15" customHeight="1">
      <c r="A3891" t="inlineStr">
        <is>
          <t>A 335-2022</t>
        </is>
      </c>
      <c r="B3891" s="1" t="n">
        <v>44565</v>
      </c>
      <c r="C3891" s="1" t="n">
        <v>45211</v>
      </c>
      <c r="D3891" t="inlineStr">
        <is>
          <t>ÖSTERGÖTLANDS LÄN</t>
        </is>
      </c>
      <c r="E3891" t="inlineStr">
        <is>
          <t>LINKÖPING</t>
        </is>
      </c>
      <c r="G3891" t="n">
        <v>3.9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s="2" t="inlineStr"/>
    </row>
    <row r="3892" ht="15" customHeight="1">
      <c r="A3892" t="inlineStr">
        <is>
          <t>A 270-2022</t>
        </is>
      </c>
      <c r="B3892" s="1" t="n">
        <v>44565</v>
      </c>
      <c r="C3892" s="1" t="n">
        <v>45211</v>
      </c>
      <c r="D3892" t="inlineStr">
        <is>
          <t>ÖSTERGÖTLANDS LÄN</t>
        </is>
      </c>
      <c r="E3892" t="inlineStr">
        <is>
          <t>ÅTVIDABERG</t>
        </is>
      </c>
      <c r="G3892" t="n">
        <v>0.8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s="2" t="inlineStr"/>
    </row>
    <row r="3893" ht="15" customHeight="1">
      <c r="A3893" t="inlineStr">
        <is>
          <t>A 350-2022</t>
        </is>
      </c>
      <c r="B3893" s="1" t="n">
        <v>44565</v>
      </c>
      <c r="C3893" s="1" t="n">
        <v>45211</v>
      </c>
      <c r="D3893" t="inlineStr">
        <is>
          <t>ÖSTERGÖTLANDS LÄN</t>
        </is>
      </c>
      <c r="E3893" t="inlineStr">
        <is>
          <t>LINKÖPING</t>
        </is>
      </c>
      <c r="G3893" t="n">
        <v>1.2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s="2" t="inlineStr"/>
    </row>
    <row r="3894" ht="15" customHeight="1">
      <c r="A3894" t="inlineStr">
        <is>
          <t>A 421-2022</t>
        </is>
      </c>
      <c r="B3894" s="1" t="n">
        <v>44565</v>
      </c>
      <c r="C3894" s="1" t="n">
        <v>45211</v>
      </c>
      <c r="D3894" t="inlineStr">
        <is>
          <t>ÖSTERGÖTLANDS LÄN</t>
        </is>
      </c>
      <c r="E3894" t="inlineStr">
        <is>
          <t>NORRKÖPING</t>
        </is>
      </c>
      <c r="F3894" t="inlineStr">
        <is>
          <t>Allmännings- och besparingsskogar</t>
        </is>
      </c>
      <c r="G3894" t="n">
        <v>9.300000000000001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s="2" t="inlineStr"/>
    </row>
    <row r="3895" ht="15" customHeight="1">
      <c r="A3895" t="inlineStr">
        <is>
          <t>A 552-2022</t>
        </is>
      </c>
      <c r="B3895" s="1" t="n">
        <v>44566</v>
      </c>
      <c r="C3895" s="1" t="n">
        <v>45211</v>
      </c>
      <c r="D3895" t="inlineStr">
        <is>
          <t>ÖSTERGÖTLANDS LÄN</t>
        </is>
      </c>
      <c r="E3895" t="inlineStr">
        <is>
          <t>YDRE</t>
        </is>
      </c>
      <c r="G3895" t="n">
        <v>2.7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s="2" t="inlineStr"/>
    </row>
    <row r="3896" ht="15" customHeight="1">
      <c r="A3896" t="inlineStr">
        <is>
          <t>A 611-2022</t>
        </is>
      </c>
      <c r="B3896" s="1" t="n">
        <v>44567</v>
      </c>
      <c r="C3896" s="1" t="n">
        <v>45211</v>
      </c>
      <c r="D3896" t="inlineStr">
        <is>
          <t>ÖSTERGÖTLANDS LÄN</t>
        </is>
      </c>
      <c r="E3896" t="inlineStr">
        <is>
          <t>SÖDERKÖPING</t>
        </is>
      </c>
      <c r="G3896" t="n">
        <v>2.9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s="2" t="inlineStr"/>
    </row>
    <row r="3897" ht="15" customHeight="1">
      <c r="A3897" t="inlineStr">
        <is>
          <t>A 619-2022</t>
        </is>
      </c>
      <c r="B3897" s="1" t="n">
        <v>44567</v>
      </c>
      <c r="C3897" s="1" t="n">
        <v>45211</v>
      </c>
      <c r="D3897" t="inlineStr">
        <is>
          <t>ÖSTERGÖTLANDS LÄN</t>
        </is>
      </c>
      <c r="E3897" t="inlineStr">
        <is>
          <t>SÖDERKÖPING</t>
        </is>
      </c>
      <c r="G3897" t="n">
        <v>4.3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s="2" t="inlineStr"/>
    </row>
    <row r="3898" ht="15" customHeight="1">
      <c r="A3898" t="inlineStr">
        <is>
          <t>A 673-2022</t>
        </is>
      </c>
      <c r="B3898" s="1" t="n">
        <v>44568</v>
      </c>
      <c r="C3898" s="1" t="n">
        <v>45211</v>
      </c>
      <c r="D3898" t="inlineStr">
        <is>
          <t>ÖSTERGÖTLANDS LÄN</t>
        </is>
      </c>
      <c r="E3898" t="inlineStr">
        <is>
          <t>FINSPÅNG</t>
        </is>
      </c>
      <c r="G3898" t="n">
        <v>0.9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s="2" t="inlineStr"/>
    </row>
    <row r="3899" ht="15" customHeight="1">
      <c r="A3899" t="inlineStr">
        <is>
          <t>A 948-2022</t>
        </is>
      </c>
      <c r="B3899" s="1" t="n">
        <v>44571</v>
      </c>
      <c r="C3899" s="1" t="n">
        <v>45211</v>
      </c>
      <c r="D3899" t="inlineStr">
        <is>
          <t>ÖSTERGÖTLANDS LÄN</t>
        </is>
      </c>
      <c r="E3899" t="inlineStr">
        <is>
          <t>LINKÖPING</t>
        </is>
      </c>
      <c r="G3899" t="n">
        <v>1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s="2" t="inlineStr"/>
    </row>
    <row r="3900" ht="15" customHeight="1">
      <c r="A3900" t="inlineStr">
        <is>
          <t>A 987-2022</t>
        </is>
      </c>
      <c r="B3900" s="1" t="n">
        <v>44571</v>
      </c>
      <c r="C3900" s="1" t="n">
        <v>45211</v>
      </c>
      <c r="D3900" t="inlineStr">
        <is>
          <t>ÖSTERGÖTLANDS LÄN</t>
        </is>
      </c>
      <c r="E3900" t="inlineStr">
        <is>
          <t>MOTALA</t>
        </is>
      </c>
      <c r="G3900" t="n">
        <v>8.5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s="2" t="inlineStr"/>
    </row>
    <row r="3901" ht="15" customHeight="1">
      <c r="A3901" t="inlineStr">
        <is>
          <t>A 940-2022</t>
        </is>
      </c>
      <c r="B3901" s="1" t="n">
        <v>44571</v>
      </c>
      <c r="C3901" s="1" t="n">
        <v>45211</v>
      </c>
      <c r="D3901" t="inlineStr">
        <is>
          <t>ÖSTERGÖTLANDS LÄN</t>
        </is>
      </c>
      <c r="E3901" t="inlineStr">
        <is>
          <t>MOTALA</t>
        </is>
      </c>
      <c r="G3901" t="n">
        <v>1.3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s="2" t="inlineStr"/>
    </row>
    <row r="3902" ht="15" customHeight="1">
      <c r="A3902" t="inlineStr">
        <is>
          <t>A 1122-2022</t>
        </is>
      </c>
      <c r="B3902" s="1" t="n">
        <v>44571</v>
      </c>
      <c r="C3902" s="1" t="n">
        <v>45211</v>
      </c>
      <c r="D3902" t="inlineStr">
        <is>
          <t>ÖSTERGÖTLANDS LÄN</t>
        </is>
      </c>
      <c r="E3902" t="inlineStr">
        <is>
          <t>LINKÖPING</t>
        </is>
      </c>
      <c r="G3902" t="n">
        <v>0.7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s="2" t="inlineStr"/>
    </row>
    <row r="3903" ht="15" customHeight="1">
      <c r="A3903" t="inlineStr">
        <is>
          <t>A 1041-2022</t>
        </is>
      </c>
      <c r="B3903" s="1" t="n">
        <v>44571</v>
      </c>
      <c r="C3903" s="1" t="n">
        <v>45211</v>
      </c>
      <c r="D3903" t="inlineStr">
        <is>
          <t>ÖSTERGÖTLANDS LÄN</t>
        </is>
      </c>
      <c r="E3903" t="inlineStr">
        <is>
          <t>NORRKÖPING</t>
        </is>
      </c>
      <c r="F3903" t="inlineStr">
        <is>
          <t>Holmen skog AB</t>
        </is>
      </c>
      <c r="G3903" t="n">
        <v>0.6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s="2" t="inlineStr"/>
    </row>
    <row r="3904" ht="15" customHeight="1">
      <c r="A3904" t="inlineStr">
        <is>
          <t>A 1176-2022</t>
        </is>
      </c>
      <c r="B3904" s="1" t="n">
        <v>44572</v>
      </c>
      <c r="C3904" s="1" t="n">
        <v>45211</v>
      </c>
      <c r="D3904" t="inlineStr">
        <is>
          <t>ÖSTERGÖTLANDS LÄN</t>
        </is>
      </c>
      <c r="E3904" t="inlineStr">
        <is>
          <t>YDRE</t>
        </is>
      </c>
      <c r="G3904" t="n">
        <v>1.1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s="2" t="inlineStr"/>
    </row>
    <row r="3905" ht="15" customHeight="1">
      <c r="A3905" t="inlineStr">
        <is>
          <t>A 1247-2022</t>
        </is>
      </c>
      <c r="B3905" s="1" t="n">
        <v>44572</v>
      </c>
      <c r="C3905" s="1" t="n">
        <v>45211</v>
      </c>
      <c r="D3905" t="inlineStr">
        <is>
          <t>ÖSTERGÖTLANDS LÄN</t>
        </is>
      </c>
      <c r="E3905" t="inlineStr">
        <is>
          <t>SÖDERKÖPING</t>
        </is>
      </c>
      <c r="G3905" t="n">
        <v>5.6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s="2" t="inlineStr"/>
    </row>
    <row r="3906" ht="15" customHeight="1">
      <c r="A3906" t="inlineStr">
        <is>
          <t>A 1312-2022</t>
        </is>
      </c>
      <c r="B3906" s="1" t="n">
        <v>44572</v>
      </c>
      <c r="C3906" s="1" t="n">
        <v>45211</v>
      </c>
      <c r="D3906" t="inlineStr">
        <is>
          <t>ÖSTERGÖTLANDS LÄN</t>
        </is>
      </c>
      <c r="E3906" t="inlineStr">
        <is>
          <t>ÖDESHÖG</t>
        </is>
      </c>
      <c r="G3906" t="n">
        <v>2.8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s="2" t="inlineStr"/>
    </row>
    <row r="3907" ht="15" customHeight="1">
      <c r="A3907" t="inlineStr">
        <is>
          <t>A 1554-2022</t>
        </is>
      </c>
      <c r="B3907" s="1" t="n">
        <v>44573</v>
      </c>
      <c r="C3907" s="1" t="n">
        <v>45211</v>
      </c>
      <c r="D3907" t="inlineStr">
        <is>
          <t>ÖSTERGÖTLANDS LÄN</t>
        </is>
      </c>
      <c r="E3907" t="inlineStr">
        <is>
          <t>MJÖLBY</t>
        </is>
      </c>
      <c r="G3907" t="n">
        <v>0.3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s="2" t="inlineStr"/>
    </row>
    <row r="3908" ht="15" customHeight="1">
      <c r="A3908" t="inlineStr">
        <is>
          <t>A 1606-2022</t>
        </is>
      </c>
      <c r="B3908" s="1" t="n">
        <v>44573</v>
      </c>
      <c r="C3908" s="1" t="n">
        <v>45211</v>
      </c>
      <c r="D3908" t="inlineStr">
        <is>
          <t>ÖSTERGÖTLANDS LÄN</t>
        </is>
      </c>
      <c r="E3908" t="inlineStr">
        <is>
          <t>VALDEMARSVIK</t>
        </is>
      </c>
      <c r="G3908" t="n">
        <v>4.6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s="2" t="inlineStr"/>
    </row>
    <row r="3909" ht="15" customHeight="1">
      <c r="A3909" t="inlineStr">
        <is>
          <t>A 1424-2022</t>
        </is>
      </c>
      <c r="B3909" s="1" t="n">
        <v>44573</v>
      </c>
      <c r="C3909" s="1" t="n">
        <v>45211</v>
      </c>
      <c r="D3909" t="inlineStr">
        <is>
          <t>ÖSTERGÖTLANDS LÄN</t>
        </is>
      </c>
      <c r="E3909" t="inlineStr">
        <is>
          <t>VALDEMARSVIK</t>
        </is>
      </c>
      <c r="G3909" t="n">
        <v>0.5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s="2" t="inlineStr"/>
    </row>
    <row r="3910" ht="15" customHeight="1">
      <c r="A3910" t="inlineStr">
        <is>
          <t>A 1461-2022</t>
        </is>
      </c>
      <c r="B3910" s="1" t="n">
        <v>44573</v>
      </c>
      <c r="C3910" s="1" t="n">
        <v>45211</v>
      </c>
      <c r="D3910" t="inlineStr">
        <is>
          <t>ÖSTERGÖTLANDS LÄN</t>
        </is>
      </c>
      <c r="E3910" t="inlineStr">
        <is>
          <t>FINSPÅNG</t>
        </is>
      </c>
      <c r="F3910" t="inlineStr">
        <is>
          <t>Övriga Aktiebolag</t>
        </is>
      </c>
      <c r="G3910" t="n">
        <v>2.9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s="2" t="inlineStr"/>
    </row>
    <row r="3911" ht="15" customHeight="1">
      <c r="A3911" t="inlineStr">
        <is>
          <t>A 1543-2022</t>
        </is>
      </c>
      <c r="B3911" s="1" t="n">
        <v>44573</v>
      </c>
      <c r="C3911" s="1" t="n">
        <v>45211</v>
      </c>
      <c r="D3911" t="inlineStr">
        <is>
          <t>ÖSTERGÖTLANDS LÄN</t>
        </is>
      </c>
      <c r="E3911" t="inlineStr">
        <is>
          <t>VALDEMARSVIK</t>
        </is>
      </c>
      <c r="G3911" t="n">
        <v>6.5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s="2" t="inlineStr"/>
    </row>
    <row r="3912" ht="15" customHeight="1">
      <c r="A3912" t="inlineStr">
        <is>
          <t>A 1552-2022</t>
        </is>
      </c>
      <c r="B3912" s="1" t="n">
        <v>44573</v>
      </c>
      <c r="C3912" s="1" t="n">
        <v>45211</v>
      </c>
      <c r="D3912" t="inlineStr">
        <is>
          <t>ÖSTERGÖTLANDS LÄN</t>
        </is>
      </c>
      <c r="E3912" t="inlineStr">
        <is>
          <t>MJÖLBY</t>
        </is>
      </c>
      <c r="G3912" t="n">
        <v>1.3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s="2" t="inlineStr"/>
    </row>
    <row r="3913" ht="15" customHeight="1">
      <c r="A3913" t="inlineStr">
        <is>
          <t>A 1645-2022</t>
        </is>
      </c>
      <c r="B3913" s="1" t="n">
        <v>44573</v>
      </c>
      <c r="C3913" s="1" t="n">
        <v>45211</v>
      </c>
      <c r="D3913" t="inlineStr">
        <is>
          <t>ÖSTERGÖTLANDS LÄN</t>
        </is>
      </c>
      <c r="E3913" t="inlineStr">
        <is>
          <t>MOTALA</t>
        </is>
      </c>
      <c r="G3913" t="n">
        <v>2.5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s="2" t="inlineStr"/>
    </row>
    <row r="3914" ht="15" customHeight="1">
      <c r="A3914" t="inlineStr">
        <is>
          <t>A 1506-2022</t>
        </is>
      </c>
      <c r="B3914" s="1" t="n">
        <v>44573</v>
      </c>
      <c r="C3914" s="1" t="n">
        <v>45211</v>
      </c>
      <c r="D3914" t="inlineStr">
        <is>
          <t>ÖSTERGÖTLANDS LÄN</t>
        </is>
      </c>
      <c r="E3914" t="inlineStr">
        <is>
          <t>NORRKÖPING</t>
        </is>
      </c>
      <c r="G3914" t="n">
        <v>3.9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s="2" t="inlineStr"/>
    </row>
    <row r="3915" ht="15" customHeight="1">
      <c r="A3915" t="inlineStr">
        <is>
          <t>A 1581-2022</t>
        </is>
      </c>
      <c r="B3915" s="1" t="n">
        <v>44573</v>
      </c>
      <c r="C3915" s="1" t="n">
        <v>45211</v>
      </c>
      <c r="D3915" t="inlineStr">
        <is>
          <t>ÖSTERGÖTLANDS LÄN</t>
        </is>
      </c>
      <c r="E3915" t="inlineStr">
        <is>
          <t>LINKÖPING</t>
        </is>
      </c>
      <c r="G3915" t="n">
        <v>1.3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s="2" t="inlineStr"/>
    </row>
    <row r="3916" ht="15" customHeight="1">
      <c r="A3916" t="inlineStr">
        <is>
          <t>A 1596-2022</t>
        </is>
      </c>
      <c r="B3916" s="1" t="n">
        <v>44573</v>
      </c>
      <c r="C3916" s="1" t="n">
        <v>45211</v>
      </c>
      <c r="D3916" t="inlineStr">
        <is>
          <t>ÖSTERGÖTLANDS LÄN</t>
        </is>
      </c>
      <c r="E3916" t="inlineStr">
        <is>
          <t>VALDEMARSVIK</t>
        </is>
      </c>
      <c r="G3916" t="n">
        <v>1.7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s="2" t="inlineStr"/>
    </row>
    <row r="3917" ht="15" customHeight="1">
      <c r="A3917" t="inlineStr">
        <is>
          <t>A 1423-2022</t>
        </is>
      </c>
      <c r="B3917" s="1" t="n">
        <v>44573</v>
      </c>
      <c r="C3917" s="1" t="n">
        <v>45211</v>
      </c>
      <c r="D3917" t="inlineStr">
        <is>
          <t>ÖSTERGÖTLANDS LÄN</t>
        </is>
      </c>
      <c r="E3917" t="inlineStr">
        <is>
          <t>VALDEMARSVIK</t>
        </is>
      </c>
      <c r="G3917" t="n">
        <v>1.3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s="2" t="inlineStr"/>
    </row>
    <row r="3918" ht="15" customHeight="1">
      <c r="A3918" t="inlineStr">
        <is>
          <t>A 1602-2022</t>
        </is>
      </c>
      <c r="B3918" s="1" t="n">
        <v>44573</v>
      </c>
      <c r="C3918" s="1" t="n">
        <v>45211</v>
      </c>
      <c r="D3918" t="inlineStr">
        <is>
          <t>ÖSTERGÖTLANDS LÄN</t>
        </is>
      </c>
      <c r="E3918" t="inlineStr">
        <is>
          <t>LINKÖPING</t>
        </is>
      </c>
      <c r="G3918" t="n">
        <v>4.1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s="2" t="inlineStr"/>
    </row>
    <row r="3919" ht="15" customHeight="1">
      <c r="A3919" t="inlineStr">
        <is>
          <t>A 1651-2022</t>
        </is>
      </c>
      <c r="B3919" s="1" t="n">
        <v>44573</v>
      </c>
      <c r="C3919" s="1" t="n">
        <v>45211</v>
      </c>
      <c r="D3919" t="inlineStr">
        <is>
          <t>ÖSTERGÖTLANDS LÄN</t>
        </is>
      </c>
      <c r="E3919" t="inlineStr">
        <is>
          <t>MOTALA</t>
        </is>
      </c>
      <c r="G3919" t="n">
        <v>4.5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s="2" t="inlineStr"/>
    </row>
    <row r="3920" ht="15" customHeight="1">
      <c r="A3920" t="inlineStr">
        <is>
          <t>A 1730-2022</t>
        </is>
      </c>
      <c r="B3920" s="1" t="n">
        <v>44574</v>
      </c>
      <c r="C3920" s="1" t="n">
        <v>45211</v>
      </c>
      <c r="D3920" t="inlineStr">
        <is>
          <t>ÖSTERGÖTLANDS LÄN</t>
        </is>
      </c>
      <c r="E3920" t="inlineStr">
        <is>
          <t>FINSPÅNG</t>
        </is>
      </c>
      <c r="F3920" t="inlineStr">
        <is>
          <t>Holmen skog AB</t>
        </is>
      </c>
      <c r="G3920" t="n">
        <v>1.7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s="2" t="inlineStr"/>
    </row>
    <row r="3921" ht="15" customHeight="1">
      <c r="A3921" t="inlineStr">
        <is>
          <t>A 1687-2022</t>
        </is>
      </c>
      <c r="B3921" s="1" t="n">
        <v>44574</v>
      </c>
      <c r="C3921" s="1" t="n">
        <v>45211</v>
      </c>
      <c r="D3921" t="inlineStr">
        <is>
          <t>ÖSTERGÖTLANDS LÄN</t>
        </is>
      </c>
      <c r="E3921" t="inlineStr">
        <is>
          <t>NORRKÖPING</t>
        </is>
      </c>
      <c r="G3921" t="n">
        <v>0.9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s="2" t="inlineStr"/>
    </row>
    <row r="3922" ht="15" customHeight="1">
      <c r="A3922" t="inlineStr">
        <is>
          <t>A 1722-2022</t>
        </is>
      </c>
      <c r="B3922" s="1" t="n">
        <v>44574</v>
      </c>
      <c r="C3922" s="1" t="n">
        <v>45211</v>
      </c>
      <c r="D3922" t="inlineStr">
        <is>
          <t>ÖSTERGÖTLANDS LÄN</t>
        </is>
      </c>
      <c r="E3922" t="inlineStr">
        <is>
          <t>FINSPÅNG</t>
        </is>
      </c>
      <c r="F3922" t="inlineStr">
        <is>
          <t>Holmen skog AB</t>
        </is>
      </c>
      <c r="G3922" t="n">
        <v>1.2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s="2" t="inlineStr"/>
    </row>
    <row r="3923" ht="15" customHeight="1">
      <c r="A3923" t="inlineStr">
        <is>
          <t>A 1787-2022</t>
        </is>
      </c>
      <c r="B3923" s="1" t="n">
        <v>44574</v>
      </c>
      <c r="C3923" s="1" t="n">
        <v>45211</v>
      </c>
      <c r="D3923" t="inlineStr">
        <is>
          <t>ÖSTERGÖTLANDS LÄN</t>
        </is>
      </c>
      <c r="E3923" t="inlineStr">
        <is>
          <t>LINKÖPING</t>
        </is>
      </c>
      <c r="G3923" t="n">
        <v>1.9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s="2" t="inlineStr"/>
    </row>
    <row r="3924" ht="15" customHeight="1">
      <c r="A3924" t="inlineStr">
        <is>
          <t>A 1832-2022</t>
        </is>
      </c>
      <c r="B3924" s="1" t="n">
        <v>44574</v>
      </c>
      <c r="C3924" s="1" t="n">
        <v>45211</v>
      </c>
      <c r="D3924" t="inlineStr">
        <is>
          <t>ÖSTERGÖTLANDS LÄN</t>
        </is>
      </c>
      <c r="E3924" t="inlineStr">
        <is>
          <t>FINSPÅNG</t>
        </is>
      </c>
      <c r="G3924" t="n">
        <v>0.6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s="2" t="inlineStr"/>
    </row>
    <row r="3925" ht="15" customHeight="1">
      <c r="A3925" t="inlineStr">
        <is>
          <t>A 1851-2022</t>
        </is>
      </c>
      <c r="B3925" s="1" t="n">
        <v>44574</v>
      </c>
      <c r="C3925" s="1" t="n">
        <v>45211</v>
      </c>
      <c r="D3925" t="inlineStr">
        <is>
          <t>ÖSTERGÖTLANDS LÄN</t>
        </is>
      </c>
      <c r="E3925" t="inlineStr">
        <is>
          <t>FINSPÅNG</t>
        </is>
      </c>
      <c r="G3925" t="n">
        <v>1.4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s="2" t="inlineStr"/>
    </row>
    <row r="3926" ht="15" customHeight="1">
      <c r="A3926" t="inlineStr">
        <is>
          <t>A 1885-2022</t>
        </is>
      </c>
      <c r="B3926" s="1" t="n">
        <v>44575</v>
      </c>
      <c r="C3926" s="1" t="n">
        <v>45211</v>
      </c>
      <c r="D3926" t="inlineStr">
        <is>
          <t>ÖSTERGÖTLANDS LÄN</t>
        </is>
      </c>
      <c r="E3926" t="inlineStr">
        <is>
          <t>KINDA</t>
        </is>
      </c>
      <c r="G3926" t="n">
        <v>1.7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s="2" t="inlineStr"/>
    </row>
    <row r="3927" ht="15" customHeight="1">
      <c r="A3927" t="inlineStr">
        <is>
          <t>A 1935-2022</t>
        </is>
      </c>
      <c r="B3927" s="1" t="n">
        <v>44575</v>
      </c>
      <c r="C3927" s="1" t="n">
        <v>45211</v>
      </c>
      <c r="D3927" t="inlineStr">
        <is>
          <t>ÖSTERGÖTLANDS LÄN</t>
        </is>
      </c>
      <c r="E3927" t="inlineStr">
        <is>
          <t>NORRKÖPING</t>
        </is>
      </c>
      <c r="G3927" t="n">
        <v>2.1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s="2" t="inlineStr"/>
    </row>
    <row r="3928" ht="15" customHeight="1">
      <c r="A3928" t="inlineStr">
        <is>
          <t>A 1974-2022</t>
        </is>
      </c>
      <c r="B3928" s="1" t="n">
        <v>44575</v>
      </c>
      <c r="C3928" s="1" t="n">
        <v>45211</v>
      </c>
      <c r="D3928" t="inlineStr">
        <is>
          <t>ÖSTERGÖTLANDS LÄN</t>
        </is>
      </c>
      <c r="E3928" t="inlineStr">
        <is>
          <t>VALDEMARSVIK</t>
        </is>
      </c>
      <c r="G3928" t="n">
        <v>1.2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s="2" t="inlineStr"/>
    </row>
    <row r="3929" ht="15" customHeight="1">
      <c r="A3929" t="inlineStr">
        <is>
          <t>A 2028-2022</t>
        </is>
      </c>
      <c r="B3929" s="1" t="n">
        <v>44575</v>
      </c>
      <c r="C3929" s="1" t="n">
        <v>45211</v>
      </c>
      <c r="D3929" t="inlineStr">
        <is>
          <t>ÖSTERGÖTLANDS LÄN</t>
        </is>
      </c>
      <c r="E3929" t="inlineStr">
        <is>
          <t>MOTALA</t>
        </is>
      </c>
      <c r="G3929" t="n">
        <v>3.5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s="2" t="inlineStr"/>
    </row>
    <row r="3930" ht="15" customHeight="1">
      <c r="A3930" t="inlineStr">
        <is>
          <t>A 2263-2022</t>
        </is>
      </c>
      <c r="B3930" s="1" t="n">
        <v>44578</v>
      </c>
      <c r="C3930" s="1" t="n">
        <v>45211</v>
      </c>
      <c r="D3930" t="inlineStr">
        <is>
          <t>ÖSTERGÖTLANDS LÄN</t>
        </is>
      </c>
      <c r="E3930" t="inlineStr">
        <is>
          <t>FINSPÅNG</t>
        </is>
      </c>
      <c r="F3930" t="inlineStr">
        <is>
          <t>Holmen skog AB</t>
        </is>
      </c>
      <c r="G3930" t="n">
        <v>0.9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s="2" t="inlineStr"/>
    </row>
    <row r="3931" ht="15" customHeight="1">
      <c r="A3931" t="inlineStr">
        <is>
          <t>A 2253-2022</t>
        </is>
      </c>
      <c r="B3931" s="1" t="n">
        <v>44578</v>
      </c>
      <c r="C3931" s="1" t="n">
        <v>45211</v>
      </c>
      <c r="D3931" t="inlineStr">
        <is>
          <t>ÖSTERGÖTLANDS LÄN</t>
        </is>
      </c>
      <c r="E3931" t="inlineStr">
        <is>
          <t>VADSTENA</t>
        </is>
      </c>
      <c r="G3931" t="n">
        <v>0.3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s="2" t="inlineStr"/>
    </row>
    <row r="3932" ht="15" customHeight="1">
      <c r="A3932" t="inlineStr">
        <is>
          <t>A 2176-2022</t>
        </is>
      </c>
      <c r="B3932" s="1" t="n">
        <v>44578</v>
      </c>
      <c r="C3932" s="1" t="n">
        <v>45211</v>
      </c>
      <c r="D3932" t="inlineStr">
        <is>
          <t>ÖSTERGÖTLANDS LÄN</t>
        </is>
      </c>
      <c r="E3932" t="inlineStr">
        <is>
          <t>NORRKÖPING</t>
        </is>
      </c>
      <c r="F3932" t="inlineStr">
        <is>
          <t>BillerudKorsnäs AB</t>
        </is>
      </c>
      <c r="G3932" t="n">
        <v>1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s="2" t="inlineStr"/>
    </row>
    <row r="3933" ht="15" customHeight="1">
      <c r="A3933" t="inlineStr">
        <is>
          <t>A 2210-2022</t>
        </is>
      </c>
      <c r="B3933" s="1" t="n">
        <v>44578</v>
      </c>
      <c r="C3933" s="1" t="n">
        <v>45211</v>
      </c>
      <c r="D3933" t="inlineStr">
        <is>
          <t>ÖSTERGÖTLANDS LÄN</t>
        </is>
      </c>
      <c r="E3933" t="inlineStr">
        <is>
          <t>KINDA</t>
        </is>
      </c>
      <c r="G3933" t="n">
        <v>2.6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s="2" t="inlineStr"/>
    </row>
    <row r="3934" ht="15" customHeight="1">
      <c r="A3934" t="inlineStr">
        <is>
          <t>A 2169-2022</t>
        </is>
      </c>
      <c r="B3934" s="1" t="n">
        <v>44578</v>
      </c>
      <c r="C3934" s="1" t="n">
        <v>45211</v>
      </c>
      <c r="D3934" t="inlineStr">
        <is>
          <t>ÖSTERGÖTLANDS LÄN</t>
        </is>
      </c>
      <c r="E3934" t="inlineStr">
        <is>
          <t>NORRKÖPING</t>
        </is>
      </c>
      <c r="F3934" t="inlineStr">
        <is>
          <t>BillerudKorsnäs AB</t>
        </is>
      </c>
      <c r="G3934" t="n">
        <v>0.3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s="2" t="inlineStr"/>
    </row>
    <row r="3935" ht="15" customHeight="1">
      <c r="A3935" t="inlineStr">
        <is>
          <t>A 2478-2022</t>
        </is>
      </c>
      <c r="B3935" s="1" t="n">
        <v>44579</v>
      </c>
      <c r="C3935" s="1" t="n">
        <v>45211</v>
      </c>
      <c r="D3935" t="inlineStr">
        <is>
          <t>ÖSTERGÖTLANDS LÄN</t>
        </is>
      </c>
      <c r="E3935" t="inlineStr">
        <is>
          <t>ÅTVIDABERG</t>
        </is>
      </c>
      <c r="G3935" t="n">
        <v>2.6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s="2" t="inlineStr"/>
    </row>
    <row r="3936" ht="15" customHeight="1">
      <c r="A3936" t="inlineStr">
        <is>
          <t>A 2715-2022</t>
        </is>
      </c>
      <c r="B3936" s="1" t="n">
        <v>44580</v>
      </c>
      <c r="C3936" s="1" t="n">
        <v>45211</v>
      </c>
      <c r="D3936" t="inlineStr">
        <is>
          <t>ÖSTERGÖTLANDS LÄN</t>
        </is>
      </c>
      <c r="E3936" t="inlineStr">
        <is>
          <t>MJÖLBY</t>
        </is>
      </c>
      <c r="G3936" t="n">
        <v>5.3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s="2" t="inlineStr"/>
    </row>
    <row r="3937" ht="15" customHeight="1">
      <c r="A3937" t="inlineStr">
        <is>
          <t>A 2669-2022</t>
        </is>
      </c>
      <c r="B3937" s="1" t="n">
        <v>44580</v>
      </c>
      <c r="C3937" s="1" t="n">
        <v>45211</v>
      </c>
      <c r="D3937" t="inlineStr">
        <is>
          <t>ÖSTERGÖTLANDS LÄN</t>
        </is>
      </c>
      <c r="E3937" t="inlineStr">
        <is>
          <t>BOXHOLM</t>
        </is>
      </c>
      <c r="G3937" t="n">
        <v>2.3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s="2" t="inlineStr"/>
    </row>
    <row r="3938" ht="15" customHeight="1">
      <c r="A3938" t="inlineStr">
        <is>
          <t>A 2805-2022</t>
        </is>
      </c>
      <c r="B3938" s="1" t="n">
        <v>44581</v>
      </c>
      <c r="C3938" s="1" t="n">
        <v>45211</v>
      </c>
      <c r="D3938" t="inlineStr">
        <is>
          <t>ÖSTERGÖTLANDS LÄN</t>
        </is>
      </c>
      <c r="E3938" t="inlineStr">
        <is>
          <t>FINSPÅNG</t>
        </is>
      </c>
      <c r="F3938" t="inlineStr">
        <is>
          <t>Holmen skog AB</t>
        </is>
      </c>
      <c r="G3938" t="n">
        <v>2.3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s="2" t="inlineStr"/>
    </row>
    <row r="3939" ht="15" customHeight="1">
      <c r="A3939" t="inlineStr">
        <is>
          <t>A 3013-2022</t>
        </is>
      </c>
      <c r="B3939" s="1" t="n">
        <v>44581</v>
      </c>
      <c r="C3939" s="1" t="n">
        <v>45211</v>
      </c>
      <c r="D3939" t="inlineStr">
        <is>
          <t>ÖSTERGÖTLANDS LÄN</t>
        </is>
      </c>
      <c r="E3939" t="inlineStr">
        <is>
          <t>FINSPÅNG</t>
        </is>
      </c>
      <c r="G3939" t="n">
        <v>0.7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s="2" t="inlineStr"/>
    </row>
    <row r="3940" ht="15" customHeight="1">
      <c r="A3940" t="inlineStr">
        <is>
          <t>A 2889-2022</t>
        </is>
      </c>
      <c r="B3940" s="1" t="n">
        <v>44581</v>
      </c>
      <c r="C3940" s="1" t="n">
        <v>45211</v>
      </c>
      <c r="D3940" t="inlineStr">
        <is>
          <t>ÖSTERGÖTLANDS LÄN</t>
        </is>
      </c>
      <c r="E3940" t="inlineStr">
        <is>
          <t>LINKÖPING</t>
        </is>
      </c>
      <c r="G3940" t="n">
        <v>0.5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s="2" t="inlineStr"/>
    </row>
    <row r="3941" ht="15" customHeight="1">
      <c r="A3941" t="inlineStr">
        <is>
          <t>A 2999-2022</t>
        </is>
      </c>
      <c r="B3941" s="1" t="n">
        <v>44581</v>
      </c>
      <c r="C3941" s="1" t="n">
        <v>45211</v>
      </c>
      <c r="D3941" t="inlineStr">
        <is>
          <t>ÖSTERGÖTLANDS LÄN</t>
        </is>
      </c>
      <c r="E3941" t="inlineStr">
        <is>
          <t>FINSPÅNG</t>
        </is>
      </c>
      <c r="G3941" t="n">
        <v>2.1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s="2" t="inlineStr"/>
    </row>
    <row r="3942" ht="15" customHeight="1">
      <c r="A3942" t="inlineStr">
        <is>
          <t>A 3066-2022</t>
        </is>
      </c>
      <c r="B3942" s="1" t="n">
        <v>44582</v>
      </c>
      <c r="C3942" s="1" t="n">
        <v>45211</v>
      </c>
      <c r="D3942" t="inlineStr">
        <is>
          <t>ÖSTERGÖTLANDS LÄN</t>
        </is>
      </c>
      <c r="E3942" t="inlineStr">
        <is>
          <t>YDRE</t>
        </is>
      </c>
      <c r="G3942" t="n">
        <v>0.7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s="2" t="inlineStr"/>
    </row>
    <row r="3943" ht="15" customHeight="1">
      <c r="A3943" t="inlineStr">
        <is>
          <t>A 3116-2022</t>
        </is>
      </c>
      <c r="B3943" s="1" t="n">
        <v>44582</v>
      </c>
      <c r="C3943" s="1" t="n">
        <v>45211</v>
      </c>
      <c r="D3943" t="inlineStr">
        <is>
          <t>ÖSTERGÖTLANDS LÄN</t>
        </is>
      </c>
      <c r="E3943" t="inlineStr">
        <is>
          <t>NORRKÖPING</t>
        </is>
      </c>
      <c r="G3943" t="n">
        <v>3.2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s="2" t="inlineStr"/>
    </row>
    <row r="3944" ht="15" customHeight="1">
      <c r="A3944" t="inlineStr">
        <is>
          <t>A 3122-2022</t>
        </is>
      </c>
      <c r="B3944" s="1" t="n">
        <v>44582</v>
      </c>
      <c r="C3944" s="1" t="n">
        <v>45211</v>
      </c>
      <c r="D3944" t="inlineStr">
        <is>
          <t>ÖSTERGÖTLANDS LÄN</t>
        </is>
      </c>
      <c r="E3944" t="inlineStr">
        <is>
          <t>ÖDESHÖG</t>
        </is>
      </c>
      <c r="G3944" t="n">
        <v>0.1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s="2" t="inlineStr"/>
    </row>
    <row r="3945" ht="15" customHeight="1">
      <c r="A3945" t="inlineStr">
        <is>
          <t>A 3173-2022</t>
        </is>
      </c>
      <c r="B3945" s="1" t="n">
        <v>44582</v>
      </c>
      <c r="C3945" s="1" t="n">
        <v>45211</v>
      </c>
      <c r="D3945" t="inlineStr">
        <is>
          <t>ÖSTERGÖTLANDS LÄN</t>
        </is>
      </c>
      <c r="E3945" t="inlineStr">
        <is>
          <t>LINKÖPING</t>
        </is>
      </c>
      <c r="F3945" t="inlineStr">
        <is>
          <t>Övriga Aktiebolag</t>
        </is>
      </c>
      <c r="G3945" t="n">
        <v>0.4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s="2" t="inlineStr"/>
    </row>
    <row r="3946" ht="15" customHeight="1">
      <c r="A3946" t="inlineStr">
        <is>
          <t>A 3109-2022</t>
        </is>
      </c>
      <c r="B3946" s="1" t="n">
        <v>44582</v>
      </c>
      <c r="C3946" s="1" t="n">
        <v>45211</v>
      </c>
      <c r="D3946" t="inlineStr">
        <is>
          <t>ÖSTERGÖTLANDS LÄN</t>
        </is>
      </c>
      <c r="E3946" t="inlineStr">
        <is>
          <t>FINSPÅNG</t>
        </is>
      </c>
      <c r="G3946" t="n">
        <v>0.6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s="2" t="inlineStr"/>
    </row>
    <row r="3947" ht="15" customHeight="1">
      <c r="A3947" t="inlineStr">
        <is>
          <t>A 3164-2022</t>
        </is>
      </c>
      <c r="B3947" s="1" t="n">
        <v>44582</v>
      </c>
      <c r="C3947" s="1" t="n">
        <v>45211</v>
      </c>
      <c r="D3947" t="inlineStr">
        <is>
          <t>ÖSTERGÖTLANDS LÄN</t>
        </is>
      </c>
      <c r="E3947" t="inlineStr">
        <is>
          <t>NORRKÖPING</t>
        </is>
      </c>
      <c r="F3947" t="inlineStr">
        <is>
          <t>Holmen skog AB</t>
        </is>
      </c>
      <c r="G3947" t="n">
        <v>2.6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s="2" t="inlineStr"/>
    </row>
    <row r="3948" ht="15" customHeight="1">
      <c r="A3948" t="inlineStr">
        <is>
          <t>A 3322-2022</t>
        </is>
      </c>
      <c r="B3948" s="1" t="n">
        <v>44585</v>
      </c>
      <c r="C3948" s="1" t="n">
        <v>45211</v>
      </c>
      <c r="D3948" t="inlineStr">
        <is>
          <t>ÖSTERGÖTLANDS LÄN</t>
        </is>
      </c>
      <c r="E3948" t="inlineStr">
        <is>
          <t>KINDA</t>
        </is>
      </c>
      <c r="G3948" t="n">
        <v>4.1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s="2" t="inlineStr"/>
    </row>
    <row r="3949" ht="15" customHeight="1">
      <c r="A3949" t="inlineStr">
        <is>
          <t>A 3374-2022</t>
        </is>
      </c>
      <c r="B3949" s="1" t="n">
        <v>44585</v>
      </c>
      <c r="C3949" s="1" t="n">
        <v>45211</v>
      </c>
      <c r="D3949" t="inlineStr">
        <is>
          <t>ÖSTERGÖTLANDS LÄN</t>
        </is>
      </c>
      <c r="E3949" t="inlineStr">
        <is>
          <t>YDRE</t>
        </is>
      </c>
      <c r="G3949" t="n">
        <v>2.9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s="2" t="inlineStr"/>
    </row>
    <row r="3950" ht="15" customHeight="1">
      <c r="A3950" t="inlineStr">
        <is>
          <t>A 3467-2022</t>
        </is>
      </c>
      <c r="B3950" s="1" t="n">
        <v>44585</v>
      </c>
      <c r="C3950" s="1" t="n">
        <v>45211</v>
      </c>
      <c r="D3950" t="inlineStr">
        <is>
          <t>ÖSTERGÖTLANDS LÄN</t>
        </is>
      </c>
      <c r="E3950" t="inlineStr">
        <is>
          <t>BOXHOLM</t>
        </is>
      </c>
      <c r="G3950" t="n">
        <v>0.8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s="2" t="inlineStr"/>
    </row>
    <row r="3951" ht="15" customHeight="1">
      <c r="A3951" t="inlineStr">
        <is>
          <t>A 3312-2022</t>
        </is>
      </c>
      <c r="B3951" s="1" t="n">
        <v>44585</v>
      </c>
      <c r="C3951" s="1" t="n">
        <v>45211</v>
      </c>
      <c r="D3951" t="inlineStr">
        <is>
          <t>ÖSTERGÖTLANDS LÄN</t>
        </is>
      </c>
      <c r="E3951" t="inlineStr">
        <is>
          <t>VALDEMARSVIK</t>
        </is>
      </c>
      <c r="G3951" t="n">
        <v>1.2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s="2" t="inlineStr"/>
    </row>
    <row r="3952" ht="15" customHeight="1">
      <c r="A3952" t="inlineStr">
        <is>
          <t>A 3470-2022</t>
        </is>
      </c>
      <c r="B3952" s="1" t="n">
        <v>44585</v>
      </c>
      <c r="C3952" s="1" t="n">
        <v>45211</v>
      </c>
      <c r="D3952" t="inlineStr">
        <is>
          <t>ÖSTERGÖTLANDS LÄN</t>
        </is>
      </c>
      <c r="E3952" t="inlineStr">
        <is>
          <t>BOXHOLM</t>
        </is>
      </c>
      <c r="G3952" t="n">
        <v>0.5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s="2" t="inlineStr"/>
    </row>
    <row r="3953" ht="15" customHeight="1">
      <c r="A3953" t="inlineStr">
        <is>
          <t>A 3533-2022</t>
        </is>
      </c>
      <c r="B3953" s="1" t="n">
        <v>44585</v>
      </c>
      <c r="C3953" s="1" t="n">
        <v>45211</v>
      </c>
      <c r="D3953" t="inlineStr">
        <is>
          <t>ÖSTERGÖTLANDS LÄN</t>
        </is>
      </c>
      <c r="E3953" t="inlineStr">
        <is>
          <t>VALDEMARSVIK</t>
        </is>
      </c>
      <c r="G3953" t="n">
        <v>0.7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s="2" t="inlineStr"/>
    </row>
    <row r="3954" ht="15" customHeight="1">
      <c r="A3954" t="inlineStr">
        <is>
          <t>A 3967-2022</t>
        </is>
      </c>
      <c r="B3954" s="1" t="n">
        <v>44586</v>
      </c>
      <c r="C3954" s="1" t="n">
        <v>45211</v>
      </c>
      <c r="D3954" t="inlineStr">
        <is>
          <t>ÖSTERGÖTLANDS LÄN</t>
        </is>
      </c>
      <c r="E3954" t="inlineStr">
        <is>
          <t>MOTALA</t>
        </is>
      </c>
      <c r="G3954" t="n">
        <v>5.4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s="2" t="inlineStr"/>
    </row>
    <row r="3955" ht="15" customHeight="1">
      <c r="A3955" t="inlineStr">
        <is>
          <t>A 3567-2022</t>
        </is>
      </c>
      <c r="B3955" s="1" t="n">
        <v>44586</v>
      </c>
      <c r="C3955" s="1" t="n">
        <v>45211</v>
      </c>
      <c r="D3955" t="inlineStr">
        <is>
          <t>ÖSTERGÖTLANDS LÄN</t>
        </is>
      </c>
      <c r="E3955" t="inlineStr">
        <is>
          <t>ÅTVIDABERG</t>
        </is>
      </c>
      <c r="G3955" t="n">
        <v>0.8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s="2" t="inlineStr"/>
    </row>
    <row r="3956" ht="15" customHeight="1">
      <c r="A3956" t="inlineStr">
        <is>
          <t>A 3633-2022</t>
        </is>
      </c>
      <c r="B3956" s="1" t="n">
        <v>44586</v>
      </c>
      <c r="C3956" s="1" t="n">
        <v>45211</v>
      </c>
      <c r="D3956" t="inlineStr">
        <is>
          <t>ÖSTERGÖTLANDS LÄN</t>
        </is>
      </c>
      <c r="E3956" t="inlineStr">
        <is>
          <t>ÅTVIDABERG</t>
        </is>
      </c>
      <c r="G3956" t="n">
        <v>0.8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s="2" t="inlineStr"/>
    </row>
    <row r="3957" ht="15" customHeight="1">
      <c r="A3957" t="inlineStr">
        <is>
          <t>A 3949-2022</t>
        </is>
      </c>
      <c r="B3957" s="1" t="n">
        <v>44587</v>
      </c>
      <c r="C3957" s="1" t="n">
        <v>45211</v>
      </c>
      <c r="D3957" t="inlineStr">
        <is>
          <t>ÖSTERGÖTLANDS LÄN</t>
        </is>
      </c>
      <c r="E3957" t="inlineStr">
        <is>
          <t>SÖDERKÖPING</t>
        </is>
      </c>
      <c r="G3957" t="n">
        <v>4.8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s="2" t="inlineStr"/>
    </row>
    <row r="3958" ht="15" customHeight="1">
      <c r="A3958" t="inlineStr">
        <is>
          <t>A 4072-2022</t>
        </is>
      </c>
      <c r="B3958" s="1" t="n">
        <v>44587</v>
      </c>
      <c r="C3958" s="1" t="n">
        <v>45211</v>
      </c>
      <c r="D3958" t="inlineStr">
        <is>
          <t>ÖSTERGÖTLANDS LÄN</t>
        </is>
      </c>
      <c r="E3958" t="inlineStr">
        <is>
          <t>LINKÖPING</t>
        </is>
      </c>
      <c r="G3958" t="n">
        <v>1.1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s="2" t="inlineStr"/>
    </row>
    <row r="3959" ht="15" customHeight="1">
      <c r="A3959" t="inlineStr">
        <is>
          <t>A 3895-2022</t>
        </is>
      </c>
      <c r="B3959" s="1" t="n">
        <v>44587</v>
      </c>
      <c r="C3959" s="1" t="n">
        <v>45211</v>
      </c>
      <c r="D3959" t="inlineStr">
        <is>
          <t>ÖSTERGÖTLANDS LÄN</t>
        </is>
      </c>
      <c r="E3959" t="inlineStr">
        <is>
          <t>KINDA</t>
        </is>
      </c>
      <c r="G3959" t="n">
        <v>2.1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s="2" t="inlineStr"/>
    </row>
    <row r="3960" ht="15" customHeight="1">
      <c r="A3960" t="inlineStr">
        <is>
          <t>A 3886-2022</t>
        </is>
      </c>
      <c r="B3960" s="1" t="n">
        <v>44587</v>
      </c>
      <c r="C3960" s="1" t="n">
        <v>45211</v>
      </c>
      <c r="D3960" t="inlineStr">
        <is>
          <t>ÖSTERGÖTLANDS LÄN</t>
        </is>
      </c>
      <c r="E3960" t="inlineStr">
        <is>
          <t>KINDA</t>
        </is>
      </c>
      <c r="G3960" t="n">
        <v>0.8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s="2" t="inlineStr"/>
    </row>
    <row r="3961" ht="15" customHeight="1">
      <c r="A3961" t="inlineStr">
        <is>
          <t>A 3894-2022</t>
        </is>
      </c>
      <c r="B3961" s="1" t="n">
        <v>44587</v>
      </c>
      <c r="C3961" s="1" t="n">
        <v>45211</v>
      </c>
      <c r="D3961" t="inlineStr">
        <is>
          <t>ÖSTERGÖTLANDS LÄN</t>
        </is>
      </c>
      <c r="E3961" t="inlineStr">
        <is>
          <t>VALDEMARSVIK</t>
        </is>
      </c>
      <c r="G3961" t="n">
        <v>1.1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s="2" t="inlineStr"/>
    </row>
    <row r="3962" ht="15" customHeight="1">
      <c r="A3962" t="inlineStr">
        <is>
          <t>A 4082-2022</t>
        </is>
      </c>
      <c r="B3962" s="1" t="n">
        <v>44587</v>
      </c>
      <c r="C3962" s="1" t="n">
        <v>45211</v>
      </c>
      <c r="D3962" t="inlineStr">
        <is>
          <t>ÖSTERGÖTLANDS LÄN</t>
        </is>
      </c>
      <c r="E3962" t="inlineStr">
        <is>
          <t>LINKÖPING</t>
        </is>
      </c>
      <c r="G3962" t="n">
        <v>3.4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s="2" t="inlineStr"/>
    </row>
    <row r="3963" ht="15" customHeight="1">
      <c r="A3963" t="inlineStr">
        <is>
          <t>A 3845-2022</t>
        </is>
      </c>
      <c r="B3963" s="1" t="n">
        <v>44587</v>
      </c>
      <c r="C3963" s="1" t="n">
        <v>45211</v>
      </c>
      <c r="D3963" t="inlineStr">
        <is>
          <t>ÖSTERGÖTLANDS LÄN</t>
        </is>
      </c>
      <c r="E3963" t="inlineStr">
        <is>
          <t>FINSPÅNG</t>
        </is>
      </c>
      <c r="G3963" t="n">
        <v>1.3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s="2" t="inlineStr"/>
    </row>
    <row r="3964" ht="15" customHeight="1">
      <c r="A3964" t="inlineStr">
        <is>
          <t>A 3877-2022</t>
        </is>
      </c>
      <c r="B3964" s="1" t="n">
        <v>44587</v>
      </c>
      <c r="C3964" s="1" t="n">
        <v>45211</v>
      </c>
      <c r="D3964" t="inlineStr">
        <is>
          <t>ÖSTERGÖTLANDS LÄN</t>
        </is>
      </c>
      <c r="E3964" t="inlineStr">
        <is>
          <t>KINDA</t>
        </is>
      </c>
      <c r="G3964" t="n">
        <v>1.7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s="2" t="inlineStr"/>
    </row>
    <row r="3965" ht="15" customHeight="1">
      <c r="A3965" t="inlineStr">
        <is>
          <t>A 4027-2022</t>
        </is>
      </c>
      <c r="B3965" s="1" t="n">
        <v>44587</v>
      </c>
      <c r="C3965" s="1" t="n">
        <v>45211</v>
      </c>
      <c r="D3965" t="inlineStr">
        <is>
          <t>ÖSTERGÖTLANDS LÄN</t>
        </is>
      </c>
      <c r="E3965" t="inlineStr">
        <is>
          <t>VALDEMARSVIK</t>
        </is>
      </c>
      <c r="G3965" t="n">
        <v>6.3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s="2" t="inlineStr"/>
    </row>
    <row r="3966" ht="15" customHeight="1">
      <c r="A3966" t="inlineStr">
        <is>
          <t>A 4275-2022</t>
        </is>
      </c>
      <c r="B3966" s="1" t="n">
        <v>44588</v>
      </c>
      <c r="C3966" s="1" t="n">
        <v>45211</v>
      </c>
      <c r="D3966" t="inlineStr">
        <is>
          <t>ÖSTERGÖTLANDS LÄN</t>
        </is>
      </c>
      <c r="E3966" t="inlineStr">
        <is>
          <t>FINSPÅNG</t>
        </is>
      </c>
      <c r="F3966" t="inlineStr">
        <is>
          <t>Holmen skog AB</t>
        </is>
      </c>
      <c r="G3966" t="n">
        <v>1.7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s="2" t="inlineStr"/>
    </row>
    <row r="3967" ht="15" customHeight="1">
      <c r="A3967" t="inlineStr">
        <is>
          <t>A 4256-2022</t>
        </is>
      </c>
      <c r="B3967" s="1" t="n">
        <v>44588</v>
      </c>
      <c r="C3967" s="1" t="n">
        <v>45211</v>
      </c>
      <c r="D3967" t="inlineStr">
        <is>
          <t>ÖSTERGÖTLANDS LÄN</t>
        </is>
      </c>
      <c r="E3967" t="inlineStr">
        <is>
          <t>LINKÖPING</t>
        </is>
      </c>
      <c r="G3967" t="n">
        <v>1.4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s="2" t="inlineStr"/>
    </row>
    <row r="3968" ht="15" customHeight="1">
      <c r="A3968" t="inlineStr">
        <is>
          <t>A 4127-2022</t>
        </is>
      </c>
      <c r="B3968" s="1" t="n">
        <v>44588</v>
      </c>
      <c r="C3968" s="1" t="n">
        <v>45211</v>
      </c>
      <c r="D3968" t="inlineStr">
        <is>
          <t>ÖSTERGÖTLANDS LÄN</t>
        </is>
      </c>
      <c r="E3968" t="inlineStr">
        <is>
          <t>NORRKÖPING</t>
        </is>
      </c>
      <c r="G3968" t="n">
        <v>1.7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s="2" t="inlineStr"/>
    </row>
    <row r="3969" ht="15" customHeight="1">
      <c r="A3969" t="inlineStr">
        <is>
          <t>A 4116-2022</t>
        </is>
      </c>
      <c r="B3969" s="1" t="n">
        <v>44588</v>
      </c>
      <c r="C3969" s="1" t="n">
        <v>45211</v>
      </c>
      <c r="D3969" t="inlineStr">
        <is>
          <t>ÖSTERGÖTLANDS LÄN</t>
        </is>
      </c>
      <c r="E3969" t="inlineStr">
        <is>
          <t>FINSPÅNG</t>
        </is>
      </c>
      <c r="G3969" t="n">
        <v>0.8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s="2" t="inlineStr"/>
    </row>
    <row r="3970" ht="15" customHeight="1">
      <c r="A3970" t="inlineStr">
        <is>
          <t>A 4240-2022</t>
        </is>
      </c>
      <c r="B3970" s="1" t="n">
        <v>44588</v>
      </c>
      <c r="C3970" s="1" t="n">
        <v>45211</v>
      </c>
      <c r="D3970" t="inlineStr">
        <is>
          <t>ÖSTERGÖTLANDS LÄN</t>
        </is>
      </c>
      <c r="E3970" t="inlineStr">
        <is>
          <t>LINKÖPING</t>
        </is>
      </c>
      <c r="G3970" t="n">
        <v>0.8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s="2" t="inlineStr"/>
    </row>
    <row r="3971" ht="15" customHeight="1">
      <c r="A3971" t="inlineStr">
        <is>
          <t>A 4446-2022</t>
        </is>
      </c>
      <c r="B3971" s="1" t="n">
        <v>44589</v>
      </c>
      <c r="C3971" s="1" t="n">
        <v>45211</v>
      </c>
      <c r="D3971" t="inlineStr">
        <is>
          <t>ÖSTERGÖTLANDS LÄN</t>
        </is>
      </c>
      <c r="E3971" t="inlineStr">
        <is>
          <t>KINDA</t>
        </is>
      </c>
      <c r="G3971" t="n">
        <v>2.1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s="2" t="inlineStr"/>
    </row>
    <row r="3972" ht="15" customHeight="1">
      <c r="A3972" t="inlineStr">
        <is>
          <t>A 4351-2022</t>
        </is>
      </c>
      <c r="B3972" s="1" t="n">
        <v>44589</v>
      </c>
      <c r="C3972" s="1" t="n">
        <v>45211</v>
      </c>
      <c r="D3972" t="inlineStr">
        <is>
          <t>ÖSTERGÖTLANDS LÄN</t>
        </is>
      </c>
      <c r="E3972" t="inlineStr">
        <is>
          <t>FINSPÅNG</t>
        </is>
      </c>
      <c r="G3972" t="n">
        <v>0.9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s="2" t="inlineStr"/>
    </row>
    <row r="3973" ht="15" customHeight="1">
      <c r="A3973" t="inlineStr">
        <is>
          <t>A 4363-2022</t>
        </is>
      </c>
      <c r="B3973" s="1" t="n">
        <v>44589</v>
      </c>
      <c r="C3973" s="1" t="n">
        <v>45211</v>
      </c>
      <c r="D3973" t="inlineStr">
        <is>
          <t>ÖSTERGÖTLANDS LÄN</t>
        </is>
      </c>
      <c r="E3973" t="inlineStr">
        <is>
          <t>LINKÖPING</t>
        </is>
      </c>
      <c r="G3973" t="n">
        <v>8.199999999999999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s="2" t="inlineStr"/>
    </row>
    <row r="3974" ht="15" customHeight="1">
      <c r="A3974" t="inlineStr">
        <is>
          <t>A 4624-2022</t>
        </is>
      </c>
      <c r="B3974" s="1" t="n">
        <v>44592</v>
      </c>
      <c r="C3974" s="1" t="n">
        <v>45211</v>
      </c>
      <c r="D3974" t="inlineStr">
        <is>
          <t>ÖSTERGÖTLANDS LÄN</t>
        </is>
      </c>
      <c r="E3974" t="inlineStr">
        <is>
          <t>YDRE</t>
        </is>
      </c>
      <c r="G3974" t="n">
        <v>1.9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s="2" t="inlineStr"/>
    </row>
    <row r="3975" ht="15" customHeight="1">
      <c r="A3975" t="inlineStr">
        <is>
          <t>A 4666-2022</t>
        </is>
      </c>
      <c r="B3975" s="1" t="n">
        <v>44592</v>
      </c>
      <c r="C3975" s="1" t="n">
        <v>45211</v>
      </c>
      <c r="D3975" t="inlineStr">
        <is>
          <t>ÖSTERGÖTLANDS LÄN</t>
        </is>
      </c>
      <c r="E3975" t="inlineStr">
        <is>
          <t>SÖDERKÖPING</t>
        </is>
      </c>
      <c r="G3975" t="n">
        <v>1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s="2" t="inlineStr"/>
    </row>
    <row r="3976" ht="15" customHeight="1">
      <c r="A3976" t="inlineStr">
        <is>
          <t>A 4772-2022</t>
        </is>
      </c>
      <c r="B3976" s="1" t="n">
        <v>44592</v>
      </c>
      <c r="C3976" s="1" t="n">
        <v>45211</v>
      </c>
      <c r="D3976" t="inlineStr">
        <is>
          <t>ÖSTERGÖTLANDS LÄN</t>
        </is>
      </c>
      <c r="E3976" t="inlineStr">
        <is>
          <t>ÖDESHÖG</t>
        </is>
      </c>
      <c r="G3976" t="n">
        <v>1.2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s="2" t="inlineStr"/>
    </row>
    <row r="3977" ht="15" customHeight="1">
      <c r="A3977" t="inlineStr">
        <is>
          <t>A 4885-2022</t>
        </is>
      </c>
      <c r="B3977" s="1" t="n">
        <v>44593</v>
      </c>
      <c r="C3977" s="1" t="n">
        <v>45211</v>
      </c>
      <c r="D3977" t="inlineStr">
        <is>
          <t>ÖSTERGÖTLANDS LÄN</t>
        </is>
      </c>
      <c r="E3977" t="inlineStr">
        <is>
          <t>ÅTVIDABERG</t>
        </is>
      </c>
      <c r="G3977" t="n">
        <v>1.3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s="2" t="inlineStr"/>
    </row>
    <row r="3978" ht="15" customHeight="1">
      <c r="A3978" t="inlineStr">
        <is>
          <t>A 4927-2022</t>
        </is>
      </c>
      <c r="B3978" s="1" t="n">
        <v>44593</v>
      </c>
      <c r="C3978" s="1" t="n">
        <v>45211</v>
      </c>
      <c r="D3978" t="inlineStr">
        <is>
          <t>ÖSTERGÖTLANDS LÄN</t>
        </is>
      </c>
      <c r="E3978" t="inlineStr">
        <is>
          <t>VALDEMARSVIK</t>
        </is>
      </c>
      <c r="G3978" t="n">
        <v>0.9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s="2" t="inlineStr"/>
    </row>
    <row r="3979" ht="15" customHeight="1">
      <c r="A3979" t="inlineStr">
        <is>
          <t>A 4946-2022</t>
        </is>
      </c>
      <c r="B3979" s="1" t="n">
        <v>44593</v>
      </c>
      <c r="C3979" s="1" t="n">
        <v>45211</v>
      </c>
      <c r="D3979" t="inlineStr">
        <is>
          <t>ÖSTERGÖTLANDS LÄN</t>
        </is>
      </c>
      <c r="E3979" t="inlineStr">
        <is>
          <t>VALDEMARSVIK</t>
        </is>
      </c>
      <c r="G3979" t="n">
        <v>4.2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s="2" t="inlineStr"/>
    </row>
    <row r="3980" ht="15" customHeight="1">
      <c r="A3980" t="inlineStr">
        <is>
          <t>A 5048-2022</t>
        </is>
      </c>
      <c r="B3980" s="1" t="n">
        <v>44593</v>
      </c>
      <c r="C3980" s="1" t="n">
        <v>45211</v>
      </c>
      <c r="D3980" t="inlineStr">
        <is>
          <t>ÖSTERGÖTLANDS LÄN</t>
        </is>
      </c>
      <c r="E3980" t="inlineStr">
        <is>
          <t>NORRKÖPING</t>
        </is>
      </c>
      <c r="G3980" t="n">
        <v>0.6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s="2" t="inlineStr"/>
    </row>
    <row r="3981" ht="15" customHeight="1">
      <c r="A3981" t="inlineStr">
        <is>
          <t>A 4982-2022</t>
        </is>
      </c>
      <c r="B3981" s="1" t="n">
        <v>44593</v>
      </c>
      <c r="C3981" s="1" t="n">
        <v>45211</v>
      </c>
      <c r="D3981" t="inlineStr">
        <is>
          <t>ÖSTERGÖTLANDS LÄN</t>
        </is>
      </c>
      <c r="E3981" t="inlineStr">
        <is>
          <t>YDRE</t>
        </is>
      </c>
      <c r="F3981" t="inlineStr">
        <is>
          <t>Övriga Aktiebolag</t>
        </is>
      </c>
      <c r="G3981" t="n">
        <v>5.9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s="2" t="inlineStr"/>
    </row>
    <row r="3982" ht="15" customHeight="1">
      <c r="A3982" t="inlineStr">
        <is>
          <t>A 5072-2022</t>
        </is>
      </c>
      <c r="B3982" s="1" t="n">
        <v>44593</v>
      </c>
      <c r="C3982" s="1" t="n">
        <v>45211</v>
      </c>
      <c r="D3982" t="inlineStr">
        <is>
          <t>ÖSTERGÖTLANDS LÄN</t>
        </is>
      </c>
      <c r="E3982" t="inlineStr">
        <is>
          <t>SÖDERKÖPING</t>
        </is>
      </c>
      <c r="G3982" t="n">
        <v>6.6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s="2" t="inlineStr"/>
    </row>
    <row r="3983" ht="15" customHeight="1">
      <c r="A3983" t="inlineStr">
        <is>
          <t>A 5157-2022</t>
        </is>
      </c>
      <c r="B3983" s="1" t="n">
        <v>44594</v>
      </c>
      <c r="C3983" s="1" t="n">
        <v>45211</v>
      </c>
      <c r="D3983" t="inlineStr">
        <is>
          <t>ÖSTERGÖTLANDS LÄN</t>
        </is>
      </c>
      <c r="E3983" t="inlineStr">
        <is>
          <t>MOTALA</t>
        </is>
      </c>
      <c r="G3983" t="n">
        <v>0.8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s="2" t="inlineStr"/>
    </row>
    <row r="3984" ht="15" customHeight="1">
      <c r="A3984" t="inlineStr">
        <is>
          <t>A 5168-2022</t>
        </is>
      </c>
      <c r="B3984" s="1" t="n">
        <v>44594</v>
      </c>
      <c r="C3984" s="1" t="n">
        <v>45211</v>
      </c>
      <c r="D3984" t="inlineStr">
        <is>
          <t>ÖSTERGÖTLANDS LÄN</t>
        </is>
      </c>
      <c r="E3984" t="inlineStr">
        <is>
          <t>MJÖLBY</t>
        </is>
      </c>
      <c r="G3984" t="n">
        <v>1.6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s="2" t="inlineStr"/>
    </row>
    <row r="3985" ht="15" customHeight="1">
      <c r="A3985" t="inlineStr">
        <is>
          <t>A 5197-2022</t>
        </is>
      </c>
      <c r="B3985" s="1" t="n">
        <v>44594</v>
      </c>
      <c r="C3985" s="1" t="n">
        <v>45211</v>
      </c>
      <c r="D3985" t="inlineStr">
        <is>
          <t>ÖSTERGÖTLANDS LÄN</t>
        </is>
      </c>
      <c r="E3985" t="inlineStr">
        <is>
          <t>KINDA</t>
        </is>
      </c>
      <c r="G3985" t="n">
        <v>2.6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s="2" t="inlineStr"/>
    </row>
    <row r="3986" ht="15" customHeight="1">
      <c r="A3986" t="inlineStr">
        <is>
          <t>A 5616-2022</t>
        </is>
      </c>
      <c r="B3986" s="1" t="n">
        <v>44595</v>
      </c>
      <c r="C3986" s="1" t="n">
        <v>45211</v>
      </c>
      <c r="D3986" t="inlineStr">
        <is>
          <t>ÖSTERGÖTLANDS LÄN</t>
        </is>
      </c>
      <c r="E3986" t="inlineStr">
        <is>
          <t>FINSPÅNG</t>
        </is>
      </c>
      <c r="G3986" t="n">
        <v>2.5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s="2" t="inlineStr"/>
    </row>
    <row r="3987" ht="15" customHeight="1">
      <c r="A3987" t="inlineStr">
        <is>
          <t>A 5438-2022</t>
        </is>
      </c>
      <c r="B3987" s="1" t="n">
        <v>44595</v>
      </c>
      <c r="C3987" s="1" t="n">
        <v>45211</v>
      </c>
      <c r="D3987" t="inlineStr">
        <is>
          <t>ÖSTERGÖTLANDS LÄN</t>
        </is>
      </c>
      <c r="E3987" t="inlineStr">
        <is>
          <t>FINSPÅNG</t>
        </is>
      </c>
      <c r="F3987" t="inlineStr">
        <is>
          <t>Övriga Aktiebolag</t>
        </is>
      </c>
      <c r="G3987" t="n">
        <v>2.3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s="2" t="inlineStr"/>
    </row>
    <row r="3988" ht="15" customHeight="1">
      <c r="A3988" t="inlineStr">
        <is>
          <t>A 5595-2022</t>
        </is>
      </c>
      <c r="B3988" s="1" t="n">
        <v>44595</v>
      </c>
      <c r="C3988" s="1" t="n">
        <v>45211</v>
      </c>
      <c r="D3988" t="inlineStr">
        <is>
          <t>ÖSTERGÖTLANDS LÄN</t>
        </is>
      </c>
      <c r="E3988" t="inlineStr">
        <is>
          <t>FINSPÅNG</t>
        </is>
      </c>
      <c r="F3988" t="inlineStr">
        <is>
          <t>Övriga Aktiebolag</t>
        </is>
      </c>
      <c r="G3988" t="n">
        <v>0.5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s="2" t="inlineStr"/>
    </row>
    <row r="3989" ht="15" customHeight="1">
      <c r="A3989" t="inlineStr">
        <is>
          <t>A 5605-2022</t>
        </is>
      </c>
      <c r="B3989" s="1" t="n">
        <v>44595</v>
      </c>
      <c r="C3989" s="1" t="n">
        <v>45211</v>
      </c>
      <c r="D3989" t="inlineStr">
        <is>
          <t>ÖSTERGÖTLANDS LÄN</t>
        </is>
      </c>
      <c r="E3989" t="inlineStr">
        <is>
          <t>LINKÖPING</t>
        </is>
      </c>
      <c r="F3989" t="inlineStr">
        <is>
          <t>Övriga statliga verk och myndigheter</t>
        </is>
      </c>
      <c r="G3989" t="n">
        <v>3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s="2" t="inlineStr"/>
    </row>
    <row r="3990" ht="15" customHeight="1">
      <c r="A3990" t="inlineStr">
        <is>
          <t>A 5615-2022</t>
        </is>
      </c>
      <c r="B3990" s="1" t="n">
        <v>44595</v>
      </c>
      <c r="C3990" s="1" t="n">
        <v>45211</v>
      </c>
      <c r="D3990" t="inlineStr">
        <is>
          <t>ÖSTERGÖTLANDS LÄN</t>
        </is>
      </c>
      <c r="E3990" t="inlineStr">
        <is>
          <t>FINSPÅNG</t>
        </is>
      </c>
      <c r="F3990" t="inlineStr">
        <is>
          <t>Övriga Aktiebolag</t>
        </is>
      </c>
      <c r="G3990" t="n">
        <v>2.6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s="2" t="inlineStr"/>
    </row>
    <row r="3991" ht="15" customHeight="1">
      <c r="A3991" t="inlineStr">
        <is>
          <t>A 5431-2022</t>
        </is>
      </c>
      <c r="B3991" s="1" t="n">
        <v>44595</v>
      </c>
      <c r="C3991" s="1" t="n">
        <v>45211</v>
      </c>
      <c r="D3991" t="inlineStr">
        <is>
          <t>ÖSTERGÖTLANDS LÄN</t>
        </is>
      </c>
      <c r="E3991" t="inlineStr">
        <is>
          <t>FINSPÅNG</t>
        </is>
      </c>
      <c r="F3991" t="inlineStr">
        <is>
          <t>Övriga Aktiebolag</t>
        </is>
      </c>
      <c r="G3991" t="n">
        <v>1.1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s="2" t="inlineStr"/>
    </row>
    <row r="3992" ht="15" customHeight="1">
      <c r="A3992" t="inlineStr">
        <is>
          <t>A 5617-2022</t>
        </is>
      </c>
      <c r="B3992" s="1" t="n">
        <v>44595</v>
      </c>
      <c r="C3992" s="1" t="n">
        <v>45211</v>
      </c>
      <c r="D3992" t="inlineStr">
        <is>
          <t>ÖSTERGÖTLANDS LÄN</t>
        </is>
      </c>
      <c r="E3992" t="inlineStr">
        <is>
          <t>FINSPÅNG</t>
        </is>
      </c>
      <c r="G3992" t="n">
        <v>1.9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s="2" t="inlineStr"/>
    </row>
    <row r="3993" ht="15" customHeight="1">
      <c r="A3993" t="inlineStr">
        <is>
          <t>A 5577-2022</t>
        </is>
      </c>
      <c r="B3993" s="1" t="n">
        <v>44595</v>
      </c>
      <c r="C3993" s="1" t="n">
        <v>45211</v>
      </c>
      <c r="D3993" t="inlineStr">
        <is>
          <t>ÖSTERGÖTLANDS LÄN</t>
        </is>
      </c>
      <c r="E3993" t="inlineStr">
        <is>
          <t>MOTALA</t>
        </is>
      </c>
      <c r="F3993" t="inlineStr">
        <is>
          <t>Övriga statliga verk och myndigheter</t>
        </is>
      </c>
      <c r="G3993" t="n">
        <v>5.7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s="2" t="inlineStr"/>
    </row>
    <row r="3994" ht="15" customHeight="1">
      <c r="A3994" t="inlineStr">
        <is>
          <t>A 5674-2022</t>
        </is>
      </c>
      <c r="B3994" s="1" t="n">
        <v>44595</v>
      </c>
      <c r="C3994" s="1" t="n">
        <v>45211</v>
      </c>
      <c r="D3994" t="inlineStr">
        <is>
          <t>ÖSTERGÖTLANDS LÄN</t>
        </is>
      </c>
      <c r="E3994" t="inlineStr">
        <is>
          <t>FINSPÅNG</t>
        </is>
      </c>
      <c r="G3994" t="n">
        <v>2.3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s="2" t="inlineStr"/>
    </row>
    <row r="3995" ht="15" customHeight="1">
      <c r="A3995" t="inlineStr">
        <is>
          <t>A 5868-2022</t>
        </is>
      </c>
      <c r="B3995" s="1" t="n">
        <v>44596</v>
      </c>
      <c r="C3995" s="1" t="n">
        <v>45211</v>
      </c>
      <c r="D3995" t="inlineStr">
        <is>
          <t>ÖSTERGÖTLANDS LÄN</t>
        </is>
      </c>
      <c r="E3995" t="inlineStr">
        <is>
          <t>NORRKÖPING</t>
        </is>
      </c>
      <c r="F3995" t="inlineStr">
        <is>
          <t>Allmännings- och besparingsskogar</t>
        </is>
      </c>
      <c r="G3995" t="n">
        <v>2.3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s="2" t="inlineStr"/>
    </row>
    <row r="3996" ht="15" customHeight="1">
      <c r="A3996" t="inlineStr">
        <is>
          <t>A 5888-2022</t>
        </is>
      </c>
      <c r="B3996" s="1" t="n">
        <v>44596</v>
      </c>
      <c r="C3996" s="1" t="n">
        <v>45211</v>
      </c>
      <c r="D3996" t="inlineStr">
        <is>
          <t>ÖSTERGÖTLANDS LÄN</t>
        </is>
      </c>
      <c r="E3996" t="inlineStr">
        <is>
          <t>LINKÖPING</t>
        </is>
      </c>
      <c r="G3996" t="n">
        <v>0.6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s="2" t="inlineStr"/>
    </row>
    <row r="3997" ht="15" customHeight="1">
      <c r="A3997" t="inlineStr">
        <is>
          <t>A 5725-2022</t>
        </is>
      </c>
      <c r="B3997" s="1" t="n">
        <v>44596</v>
      </c>
      <c r="C3997" s="1" t="n">
        <v>45211</v>
      </c>
      <c r="D3997" t="inlineStr">
        <is>
          <t>ÖSTERGÖTLANDS LÄN</t>
        </is>
      </c>
      <c r="E3997" t="inlineStr">
        <is>
          <t>NORRKÖPING</t>
        </is>
      </c>
      <c r="G3997" t="n">
        <v>1.6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s="2" t="inlineStr"/>
    </row>
    <row r="3998" ht="15" customHeight="1">
      <c r="A3998" t="inlineStr">
        <is>
          <t>A 5887-2022</t>
        </is>
      </c>
      <c r="B3998" s="1" t="n">
        <v>44596</v>
      </c>
      <c r="C3998" s="1" t="n">
        <v>45211</v>
      </c>
      <c r="D3998" t="inlineStr">
        <is>
          <t>ÖSTERGÖTLANDS LÄN</t>
        </is>
      </c>
      <c r="E3998" t="inlineStr">
        <is>
          <t>MOTALA</t>
        </is>
      </c>
      <c r="G3998" t="n">
        <v>1.4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s="2" t="inlineStr"/>
    </row>
    <row r="3999" ht="15" customHeight="1">
      <c r="A3999" t="inlineStr">
        <is>
          <t>A 5663-2022</t>
        </is>
      </c>
      <c r="B3999" s="1" t="n">
        <v>44596</v>
      </c>
      <c r="C3999" s="1" t="n">
        <v>45211</v>
      </c>
      <c r="D3999" t="inlineStr">
        <is>
          <t>ÖSTERGÖTLANDS LÄN</t>
        </is>
      </c>
      <c r="E3999" t="inlineStr">
        <is>
          <t>ÅTVIDABERG</t>
        </is>
      </c>
      <c r="G3999" t="n">
        <v>1.8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s="2" t="inlineStr"/>
    </row>
    <row r="4000" ht="15" customHeight="1">
      <c r="A4000" t="inlineStr">
        <is>
          <t>A 5912-2022</t>
        </is>
      </c>
      <c r="B4000" s="1" t="n">
        <v>44597</v>
      </c>
      <c r="C4000" s="1" t="n">
        <v>45211</v>
      </c>
      <c r="D4000" t="inlineStr">
        <is>
          <t>ÖSTERGÖTLANDS LÄN</t>
        </is>
      </c>
      <c r="E4000" t="inlineStr">
        <is>
          <t>NORRKÖPING</t>
        </is>
      </c>
      <c r="G4000" t="n">
        <v>1.7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s="2" t="inlineStr"/>
    </row>
    <row r="4001" ht="15" customHeight="1">
      <c r="A4001" t="inlineStr">
        <is>
          <t>A 5976-2022</t>
        </is>
      </c>
      <c r="B4001" s="1" t="n">
        <v>44597</v>
      </c>
      <c r="C4001" s="1" t="n">
        <v>45211</v>
      </c>
      <c r="D4001" t="inlineStr">
        <is>
          <t>ÖSTERGÖTLANDS LÄN</t>
        </is>
      </c>
      <c r="E4001" t="inlineStr">
        <is>
          <t>NORRKÖPING</t>
        </is>
      </c>
      <c r="G4001" t="n">
        <v>1.7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s="2" t="inlineStr"/>
    </row>
    <row r="4002" ht="15" customHeight="1">
      <c r="A4002" t="inlineStr">
        <is>
          <t>A 5990-2022</t>
        </is>
      </c>
      <c r="B4002" s="1" t="n">
        <v>44599</v>
      </c>
      <c r="C4002" s="1" t="n">
        <v>45211</v>
      </c>
      <c r="D4002" t="inlineStr">
        <is>
          <t>ÖSTERGÖTLANDS LÄN</t>
        </is>
      </c>
      <c r="E4002" t="inlineStr">
        <is>
          <t>MJÖLBY</t>
        </is>
      </c>
      <c r="G4002" t="n">
        <v>1.9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s="2" t="inlineStr"/>
    </row>
    <row r="4003" ht="15" customHeight="1">
      <c r="A4003" t="inlineStr">
        <is>
          <t>A 6104-2022</t>
        </is>
      </c>
      <c r="B4003" s="1" t="n">
        <v>44599</v>
      </c>
      <c r="C4003" s="1" t="n">
        <v>45211</v>
      </c>
      <c r="D4003" t="inlineStr">
        <is>
          <t>ÖSTERGÖTLANDS LÄN</t>
        </is>
      </c>
      <c r="E4003" t="inlineStr">
        <is>
          <t>KINDA</t>
        </is>
      </c>
      <c r="G4003" t="n">
        <v>0.5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s="2" t="inlineStr"/>
    </row>
    <row r="4004" ht="15" customHeight="1">
      <c r="A4004" t="inlineStr">
        <is>
          <t>A 6038-2022</t>
        </is>
      </c>
      <c r="B4004" s="1" t="n">
        <v>44599</v>
      </c>
      <c r="C4004" s="1" t="n">
        <v>45211</v>
      </c>
      <c r="D4004" t="inlineStr">
        <is>
          <t>ÖSTERGÖTLANDS LÄN</t>
        </is>
      </c>
      <c r="E4004" t="inlineStr">
        <is>
          <t>FINSPÅNG</t>
        </is>
      </c>
      <c r="F4004" t="inlineStr">
        <is>
          <t>Naturvårdsverket</t>
        </is>
      </c>
      <c r="G4004" t="n">
        <v>1.3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s="2" t="inlineStr"/>
    </row>
    <row r="4005" ht="15" customHeight="1">
      <c r="A4005" t="inlineStr">
        <is>
          <t>A 6067-2022</t>
        </is>
      </c>
      <c r="B4005" s="1" t="n">
        <v>44599</v>
      </c>
      <c r="C4005" s="1" t="n">
        <v>45211</v>
      </c>
      <c r="D4005" t="inlineStr">
        <is>
          <t>ÖSTERGÖTLANDS LÄN</t>
        </is>
      </c>
      <c r="E4005" t="inlineStr">
        <is>
          <t>NORRKÖPING</t>
        </is>
      </c>
      <c r="G4005" t="n">
        <v>0.4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s="2" t="inlineStr"/>
    </row>
    <row r="4006" ht="15" customHeight="1">
      <c r="A4006" t="inlineStr">
        <is>
          <t>A 6103-2022</t>
        </is>
      </c>
      <c r="B4006" s="1" t="n">
        <v>44599</v>
      </c>
      <c r="C4006" s="1" t="n">
        <v>45211</v>
      </c>
      <c r="D4006" t="inlineStr">
        <is>
          <t>ÖSTERGÖTLANDS LÄN</t>
        </is>
      </c>
      <c r="E4006" t="inlineStr">
        <is>
          <t>ÅTVIDABERG</t>
        </is>
      </c>
      <c r="G4006" t="n">
        <v>0.9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s="2" t="inlineStr"/>
    </row>
    <row r="4007" ht="15" customHeight="1">
      <c r="A4007" t="inlineStr">
        <is>
          <t>A 6387-2022</t>
        </is>
      </c>
      <c r="B4007" s="1" t="n">
        <v>44600</v>
      </c>
      <c r="C4007" s="1" t="n">
        <v>45211</v>
      </c>
      <c r="D4007" t="inlineStr">
        <is>
          <t>ÖSTERGÖTLANDS LÄN</t>
        </is>
      </c>
      <c r="E4007" t="inlineStr">
        <is>
          <t>LINKÖPING</t>
        </is>
      </c>
      <c r="G4007" t="n">
        <v>1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s="2" t="inlineStr"/>
    </row>
    <row r="4008" ht="15" customHeight="1">
      <c r="A4008" t="inlineStr">
        <is>
          <t>A 6395-2022</t>
        </is>
      </c>
      <c r="B4008" s="1" t="n">
        <v>44600</v>
      </c>
      <c r="C4008" s="1" t="n">
        <v>45211</v>
      </c>
      <c r="D4008" t="inlineStr">
        <is>
          <t>ÖSTERGÖTLANDS LÄN</t>
        </is>
      </c>
      <c r="E4008" t="inlineStr">
        <is>
          <t>LINKÖPING</t>
        </is>
      </c>
      <c r="F4008" t="inlineStr">
        <is>
          <t>Övriga statliga verk och myndigheter</t>
        </is>
      </c>
      <c r="G4008" t="n">
        <v>2.9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s="2" t="inlineStr"/>
    </row>
    <row r="4009" ht="15" customHeight="1">
      <c r="A4009" t="inlineStr">
        <is>
          <t>A 6402-2022</t>
        </is>
      </c>
      <c r="B4009" s="1" t="n">
        <v>44600</v>
      </c>
      <c r="C4009" s="1" t="n">
        <v>45211</v>
      </c>
      <c r="D4009" t="inlineStr">
        <is>
          <t>ÖSTERGÖTLANDS LÄN</t>
        </is>
      </c>
      <c r="E4009" t="inlineStr">
        <is>
          <t>FINSPÅNG</t>
        </is>
      </c>
      <c r="G4009" t="n">
        <v>3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s="2" t="inlineStr"/>
    </row>
    <row r="4010" ht="15" customHeight="1">
      <c r="A4010" t="inlineStr">
        <is>
          <t>A 6393-2022</t>
        </is>
      </c>
      <c r="B4010" s="1" t="n">
        <v>44600</v>
      </c>
      <c r="C4010" s="1" t="n">
        <v>45211</v>
      </c>
      <c r="D4010" t="inlineStr">
        <is>
          <t>ÖSTERGÖTLANDS LÄN</t>
        </is>
      </c>
      <c r="E4010" t="inlineStr">
        <is>
          <t>LINKÖPING</t>
        </is>
      </c>
      <c r="F4010" t="inlineStr">
        <is>
          <t>Övriga statliga verk och myndigheter</t>
        </is>
      </c>
      <c r="G4010" t="n">
        <v>7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s="2" t="inlineStr"/>
    </row>
    <row r="4011" ht="15" customHeight="1">
      <c r="A4011" t="inlineStr">
        <is>
          <t>A 6401-2022</t>
        </is>
      </c>
      <c r="B4011" s="1" t="n">
        <v>44600</v>
      </c>
      <c r="C4011" s="1" t="n">
        <v>45211</v>
      </c>
      <c r="D4011" t="inlineStr">
        <is>
          <t>ÖSTERGÖTLANDS LÄN</t>
        </is>
      </c>
      <c r="E4011" t="inlineStr">
        <is>
          <t>LINKÖPING</t>
        </is>
      </c>
      <c r="F4011" t="inlineStr">
        <is>
          <t>Övriga statliga verk och myndigheter</t>
        </is>
      </c>
      <c r="G4011" t="n">
        <v>2.8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s="2" t="inlineStr"/>
    </row>
    <row r="4012" ht="15" customHeight="1">
      <c r="A4012" t="inlineStr">
        <is>
          <t>A 6328-2022</t>
        </is>
      </c>
      <c r="B4012" s="1" t="n">
        <v>44600</v>
      </c>
      <c r="C4012" s="1" t="n">
        <v>45211</v>
      </c>
      <c r="D4012" t="inlineStr">
        <is>
          <t>ÖSTERGÖTLANDS LÄN</t>
        </is>
      </c>
      <c r="E4012" t="inlineStr">
        <is>
          <t>YDRE</t>
        </is>
      </c>
      <c r="G4012" t="n">
        <v>1.2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s="2" t="inlineStr"/>
    </row>
    <row r="4013" ht="15" customHeight="1">
      <c r="A4013" t="inlineStr">
        <is>
          <t>A 6391-2022</t>
        </is>
      </c>
      <c r="B4013" s="1" t="n">
        <v>44600</v>
      </c>
      <c r="C4013" s="1" t="n">
        <v>45211</v>
      </c>
      <c r="D4013" t="inlineStr">
        <is>
          <t>ÖSTERGÖTLANDS LÄN</t>
        </is>
      </c>
      <c r="E4013" t="inlineStr">
        <is>
          <t>LINKÖPING</t>
        </is>
      </c>
      <c r="F4013" t="inlineStr">
        <is>
          <t>Övriga statliga verk och myndigheter</t>
        </is>
      </c>
      <c r="G4013" t="n">
        <v>2.3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s="2" t="inlineStr"/>
    </row>
    <row r="4014" ht="15" customHeight="1">
      <c r="A4014" t="inlineStr">
        <is>
          <t>A 6399-2022</t>
        </is>
      </c>
      <c r="B4014" s="1" t="n">
        <v>44600</v>
      </c>
      <c r="C4014" s="1" t="n">
        <v>45211</v>
      </c>
      <c r="D4014" t="inlineStr">
        <is>
          <t>ÖSTERGÖTLANDS LÄN</t>
        </is>
      </c>
      <c r="E4014" t="inlineStr">
        <is>
          <t>LINKÖPING</t>
        </is>
      </c>
      <c r="F4014" t="inlineStr">
        <is>
          <t>Övriga statliga verk och myndigheter</t>
        </is>
      </c>
      <c r="G4014" t="n">
        <v>0.8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s="2" t="inlineStr"/>
    </row>
    <row r="4015" ht="15" customHeight="1">
      <c r="A4015" t="inlineStr">
        <is>
          <t>A 6389-2022</t>
        </is>
      </c>
      <c r="B4015" s="1" t="n">
        <v>44600</v>
      </c>
      <c r="C4015" s="1" t="n">
        <v>45211</v>
      </c>
      <c r="D4015" t="inlineStr">
        <is>
          <t>ÖSTERGÖTLANDS LÄN</t>
        </is>
      </c>
      <c r="E4015" t="inlineStr">
        <is>
          <t>KINDA</t>
        </is>
      </c>
      <c r="G4015" t="n">
        <v>0.8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s="2" t="inlineStr"/>
    </row>
    <row r="4016" ht="15" customHeight="1">
      <c r="A4016" t="inlineStr">
        <is>
          <t>A 6396-2022</t>
        </is>
      </c>
      <c r="B4016" s="1" t="n">
        <v>44600</v>
      </c>
      <c r="C4016" s="1" t="n">
        <v>45211</v>
      </c>
      <c r="D4016" t="inlineStr">
        <is>
          <t>ÖSTERGÖTLANDS LÄN</t>
        </is>
      </c>
      <c r="E4016" t="inlineStr">
        <is>
          <t>LINKÖPING</t>
        </is>
      </c>
      <c r="F4016" t="inlineStr">
        <is>
          <t>Övriga statliga verk och myndigheter</t>
        </is>
      </c>
      <c r="G4016" t="n">
        <v>1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s="2" t="inlineStr"/>
    </row>
    <row r="4017" ht="15" customHeight="1">
      <c r="A4017" t="inlineStr">
        <is>
          <t>A 6503-2022</t>
        </is>
      </c>
      <c r="B4017" s="1" t="n">
        <v>44601</v>
      </c>
      <c r="C4017" s="1" t="n">
        <v>45211</v>
      </c>
      <c r="D4017" t="inlineStr">
        <is>
          <t>ÖSTERGÖTLANDS LÄN</t>
        </is>
      </c>
      <c r="E4017" t="inlineStr">
        <is>
          <t>FINSPÅNG</t>
        </is>
      </c>
      <c r="G4017" t="n">
        <v>0.4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s="2" t="inlineStr"/>
    </row>
    <row r="4018" ht="15" customHeight="1">
      <c r="A4018" t="inlineStr">
        <is>
          <t>A 6493-2022</t>
        </is>
      </c>
      <c r="B4018" s="1" t="n">
        <v>44601</v>
      </c>
      <c r="C4018" s="1" t="n">
        <v>45211</v>
      </c>
      <c r="D4018" t="inlineStr">
        <is>
          <t>ÖSTERGÖTLANDS LÄN</t>
        </is>
      </c>
      <c r="E4018" t="inlineStr">
        <is>
          <t>FINSPÅNG</t>
        </is>
      </c>
      <c r="G4018" t="n">
        <v>0.7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s="2" t="inlineStr"/>
    </row>
    <row r="4019" ht="15" customHeight="1">
      <c r="A4019" t="inlineStr">
        <is>
          <t>A 6491-2022</t>
        </is>
      </c>
      <c r="B4019" s="1" t="n">
        <v>44601</v>
      </c>
      <c r="C4019" s="1" t="n">
        <v>45211</v>
      </c>
      <c r="D4019" t="inlineStr">
        <is>
          <t>ÖSTERGÖTLANDS LÄN</t>
        </is>
      </c>
      <c r="E4019" t="inlineStr">
        <is>
          <t>FINSPÅNG</t>
        </is>
      </c>
      <c r="G4019" t="n">
        <v>1.5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s="2" t="inlineStr"/>
    </row>
    <row r="4020" ht="15" customHeight="1">
      <c r="A4020" t="inlineStr">
        <is>
          <t>A 6519-2022</t>
        </is>
      </c>
      <c r="B4020" s="1" t="n">
        <v>44601</v>
      </c>
      <c r="C4020" s="1" t="n">
        <v>45211</v>
      </c>
      <c r="D4020" t="inlineStr">
        <is>
          <t>ÖSTERGÖTLANDS LÄN</t>
        </is>
      </c>
      <c r="E4020" t="inlineStr">
        <is>
          <t>FINSPÅNG</t>
        </is>
      </c>
      <c r="G4020" t="n">
        <v>0.5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s="2" t="inlineStr"/>
    </row>
    <row r="4021" ht="15" customHeight="1">
      <c r="A4021" t="inlineStr">
        <is>
          <t>A 6495-2022</t>
        </is>
      </c>
      <c r="B4021" s="1" t="n">
        <v>44601</v>
      </c>
      <c r="C4021" s="1" t="n">
        <v>45211</v>
      </c>
      <c r="D4021" t="inlineStr">
        <is>
          <t>ÖSTERGÖTLANDS LÄN</t>
        </is>
      </c>
      <c r="E4021" t="inlineStr">
        <is>
          <t>FINSPÅNG</t>
        </is>
      </c>
      <c r="F4021" t="inlineStr">
        <is>
          <t>Naturvårdsverket</t>
        </is>
      </c>
      <c r="G4021" t="n">
        <v>1.5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s="2" t="inlineStr"/>
    </row>
    <row r="4022" ht="15" customHeight="1">
      <c r="A4022" t="inlineStr">
        <is>
          <t>A 6780-2022</t>
        </is>
      </c>
      <c r="B4022" s="1" t="n">
        <v>44602</v>
      </c>
      <c r="C4022" s="1" t="n">
        <v>45211</v>
      </c>
      <c r="D4022" t="inlineStr">
        <is>
          <t>ÖSTERGÖTLANDS LÄN</t>
        </is>
      </c>
      <c r="E4022" t="inlineStr">
        <is>
          <t>YDRE</t>
        </is>
      </c>
      <c r="G4022" t="n">
        <v>0.8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s="2" t="inlineStr"/>
    </row>
    <row r="4023" ht="15" customHeight="1">
      <c r="A4023" t="inlineStr">
        <is>
          <t>A 6868-2022</t>
        </is>
      </c>
      <c r="B4023" s="1" t="n">
        <v>44602</v>
      </c>
      <c r="C4023" s="1" t="n">
        <v>45211</v>
      </c>
      <c r="D4023" t="inlineStr">
        <is>
          <t>ÖSTERGÖTLANDS LÄN</t>
        </is>
      </c>
      <c r="E4023" t="inlineStr">
        <is>
          <t>NORRKÖPING</t>
        </is>
      </c>
      <c r="F4023" t="inlineStr">
        <is>
          <t>Holmen skog AB</t>
        </is>
      </c>
      <c r="G4023" t="n">
        <v>0.5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s="2" t="inlineStr"/>
    </row>
    <row r="4024" ht="15" customHeight="1">
      <c r="A4024" t="inlineStr">
        <is>
          <t>A 6720-2022</t>
        </is>
      </c>
      <c r="B4024" s="1" t="n">
        <v>44602</v>
      </c>
      <c r="C4024" s="1" t="n">
        <v>45211</v>
      </c>
      <c r="D4024" t="inlineStr">
        <is>
          <t>ÖSTERGÖTLANDS LÄN</t>
        </is>
      </c>
      <c r="E4024" t="inlineStr">
        <is>
          <t>LINKÖPING</t>
        </is>
      </c>
      <c r="G4024" t="n">
        <v>1.2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s="2" t="inlineStr"/>
    </row>
    <row r="4025" ht="15" customHeight="1">
      <c r="A4025" t="inlineStr">
        <is>
          <t>A 6996-2022</t>
        </is>
      </c>
      <c r="B4025" s="1" t="n">
        <v>44603</v>
      </c>
      <c r="C4025" s="1" t="n">
        <v>45211</v>
      </c>
      <c r="D4025" t="inlineStr">
        <is>
          <t>ÖSTERGÖTLANDS LÄN</t>
        </is>
      </c>
      <c r="E4025" t="inlineStr">
        <is>
          <t>VALDEMARSVIK</t>
        </is>
      </c>
      <c r="F4025" t="inlineStr">
        <is>
          <t>Övriga Aktiebolag</t>
        </is>
      </c>
      <c r="G4025" t="n">
        <v>4.1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s="2" t="inlineStr"/>
    </row>
    <row r="4026" ht="15" customHeight="1">
      <c r="A4026" t="inlineStr">
        <is>
          <t>A 6993-2022</t>
        </is>
      </c>
      <c r="B4026" s="1" t="n">
        <v>44603</v>
      </c>
      <c r="C4026" s="1" t="n">
        <v>45211</v>
      </c>
      <c r="D4026" t="inlineStr">
        <is>
          <t>ÖSTERGÖTLANDS LÄN</t>
        </is>
      </c>
      <c r="E4026" t="inlineStr">
        <is>
          <t>MOTALA</t>
        </is>
      </c>
      <c r="F4026" t="inlineStr">
        <is>
          <t>Övriga statliga verk och myndigheter</t>
        </is>
      </c>
      <c r="G4026" t="n">
        <v>0.8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s="2" t="inlineStr"/>
    </row>
    <row r="4027" ht="15" customHeight="1">
      <c r="A4027" t="inlineStr">
        <is>
          <t>A 7198-2022</t>
        </is>
      </c>
      <c r="B4027" s="1" t="n">
        <v>44606</v>
      </c>
      <c r="C4027" s="1" t="n">
        <v>45211</v>
      </c>
      <c r="D4027" t="inlineStr">
        <is>
          <t>ÖSTERGÖTLANDS LÄN</t>
        </is>
      </c>
      <c r="E4027" t="inlineStr">
        <is>
          <t>FINSPÅNG</t>
        </is>
      </c>
      <c r="G4027" t="n">
        <v>2.4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s="2" t="inlineStr"/>
    </row>
    <row r="4028" ht="15" customHeight="1">
      <c r="A4028" t="inlineStr">
        <is>
          <t>A 7318-2022</t>
        </is>
      </c>
      <c r="B4028" s="1" t="n">
        <v>44606</v>
      </c>
      <c r="C4028" s="1" t="n">
        <v>45211</v>
      </c>
      <c r="D4028" t="inlineStr">
        <is>
          <t>ÖSTERGÖTLANDS LÄN</t>
        </is>
      </c>
      <c r="E4028" t="inlineStr">
        <is>
          <t>MOTALA</t>
        </is>
      </c>
      <c r="G4028" t="n">
        <v>0.6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s="2" t="inlineStr"/>
    </row>
    <row r="4029" ht="15" customHeight="1">
      <c r="A4029" t="inlineStr">
        <is>
          <t>A 7652-2022</t>
        </is>
      </c>
      <c r="B4029" s="1" t="n">
        <v>44607</v>
      </c>
      <c r="C4029" s="1" t="n">
        <v>45211</v>
      </c>
      <c r="D4029" t="inlineStr">
        <is>
          <t>ÖSTERGÖTLANDS LÄN</t>
        </is>
      </c>
      <c r="E4029" t="inlineStr">
        <is>
          <t>ÅTVIDABERG</t>
        </is>
      </c>
      <c r="G4029" t="n">
        <v>2.6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s="2" t="inlineStr"/>
    </row>
    <row r="4030" ht="15" customHeight="1">
      <c r="A4030" t="inlineStr">
        <is>
          <t>A 7709-2022</t>
        </is>
      </c>
      <c r="B4030" s="1" t="n">
        <v>44607</v>
      </c>
      <c r="C4030" s="1" t="n">
        <v>45211</v>
      </c>
      <c r="D4030" t="inlineStr">
        <is>
          <t>ÖSTERGÖTLANDS LÄN</t>
        </is>
      </c>
      <c r="E4030" t="inlineStr">
        <is>
          <t>NORRKÖPING</t>
        </is>
      </c>
      <c r="G4030" t="n">
        <v>2.4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s="2" t="inlineStr"/>
    </row>
    <row r="4031" ht="15" customHeight="1">
      <c r="A4031" t="inlineStr">
        <is>
          <t>A 7808-2022</t>
        </is>
      </c>
      <c r="B4031" s="1" t="n">
        <v>44608</v>
      </c>
      <c r="C4031" s="1" t="n">
        <v>45211</v>
      </c>
      <c r="D4031" t="inlineStr">
        <is>
          <t>ÖSTERGÖTLANDS LÄN</t>
        </is>
      </c>
      <c r="E4031" t="inlineStr">
        <is>
          <t>LINKÖPING</t>
        </is>
      </c>
      <c r="F4031" t="inlineStr">
        <is>
          <t>Sveaskog</t>
        </is>
      </c>
      <c r="G4031" t="n">
        <v>1.7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s="2" t="inlineStr"/>
    </row>
    <row r="4032" ht="15" customHeight="1">
      <c r="A4032" t="inlineStr">
        <is>
          <t>A 7710-2022</t>
        </is>
      </c>
      <c r="B4032" s="1" t="n">
        <v>44608</v>
      </c>
      <c r="C4032" s="1" t="n">
        <v>45211</v>
      </c>
      <c r="D4032" t="inlineStr">
        <is>
          <t>ÖSTERGÖTLANDS LÄN</t>
        </is>
      </c>
      <c r="E4032" t="inlineStr">
        <is>
          <t>MOTALA</t>
        </is>
      </c>
      <c r="G4032" t="n">
        <v>4.1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s="2" t="inlineStr"/>
    </row>
    <row r="4033" ht="15" customHeight="1">
      <c r="A4033" t="inlineStr">
        <is>
          <t>A 7805-2022</t>
        </is>
      </c>
      <c r="B4033" s="1" t="n">
        <v>44608</v>
      </c>
      <c r="C4033" s="1" t="n">
        <v>45211</v>
      </c>
      <c r="D4033" t="inlineStr">
        <is>
          <t>ÖSTERGÖTLANDS LÄN</t>
        </is>
      </c>
      <c r="E4033" t="inlineStr">
        <is>
          <t>LINKÖPING</t>
        </is>
      </c>
      <c r="F4033" t="inlineStr">
        <is>
          <t>Sveaskog</t>
        </is>
      </c>
      <c r="G4033" t="n">
        <v>4.2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s="2" t="inlineStr"/>
    </row>
    <row r="4034" ht="15" customHeight="1">
      <c r="A4034" t="inlineStr">
        <is>
          <t>A 7840-2022</t>
        </is>
      </c>
      <c r="B4034" s="1" t="n">
        <v>44608</v>
      </c>
      <c r="C4034" s="1" t="n">
        <v>45211</v>
      </c>
      <c r="D4034" t="inlineStr">
        <is>
          <t>ÖSTERGÖTLANDS LÄN</t>
        </is>
      </c>
      <c r="E4034" t="inlineStr">
        <is>
          <t>LINKÖPING</t>
        </is>
      </c>
      <c r="G4034" t="n">
        <v>1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s="2" t="inlineStr"/>
    </row>
    <row r="4035" ht="15" customHeight="1">
      <c r="A4035" t="inlineStr">
        <is>
          <t>A 7973-2022</t>
        </is>
      </c>
      <c r="B4035" s="1" t="n">
        <v>44609</v>
      </c>
      <c r="C4035" s="1" t="n">
        <v>45211</v>
      </c>
      <c r="D4035" t="inlineStr">
        <is>
          <t>ÖSTERGÖTLANDS LÄN</t>
        </is>
      </c>
      <c r="E4035" t="inlineStr">
        <is>
          <t>NORRKÖPING</t>
        </is>
      </c>
      <c r="G4035" t="n">
        <v>8.699999999999999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s="2" t="inlineStr"/>
    </row>
    <row r="4036" ht="15" customHeight="1">
      <c r="A4036" t="inlineStr">
        <is>
          <t>A 8197-2022</t>
        </is>
      </c>
      <c r="B4036" s="1" t="n">
        <v>44609</v>
      </c>
      <c r="C4036" s="1" t="n">
        <v>45211</v>
      </c>
      <c r="D4036" t="inlineStr">
        <is>
          <t>ÖSTERGÖTLANDS LÄN</t>
        </is>
      </c>
      <c r="E4036" t="inlineStr">
        <is>
          <t>NORRKÖPING</t>
        </is>
      </c>
      <c r="G4036" t="n">
        <v>2.3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s="2" t="inlineStr"/>
    </row>
    <row r="4037" ht="15" customHeight="1">
      <c r="A4037" t="inlineStr">
        <is>
          <t>A 8515-2022</t>
        </is>
      </c>
      <c r="B4037" s="1" t="n">
        <v>44613</v>
      </c>
      <c r="C4037" s="1" t="n">
        <v>45211</v>
      </c>
      <c r="D4037" t="inlineStr">
        <is>
          <t>ÖSTERGÖTLANDS LÄN</t>
        </is>
      </c>
      <c r="E4037" t="inlineStr">
        <is>
          <t>ÖDESHÖG</t>
        </is>
      </c>
      <c r="G4037" t="n">
        <v>2.1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s="2" t="inlineStr"/>
    </row>
    <row r="4038" ht="15" customHeight="1">
      <c r="A4038" t="inlineStr">
        <is>
          <t>A 8724-2022</t>
        </is>
      </c>
      <c r="B4038" s="1" t="n">
        <v>44613</v>
      </c>
      <c r="C4038" s="1" t="n">
        <v>45211</v>
      </c>
      <c r="D4038" t="inlineStr">
        <is>
          <t>ÖSTERGÖTLANDS LÄN</t>
        </is>
      </c>
      <c r="E4038" t="inlineStr">
        <is>
          <t>MOTALA</t>
        </is>
      </c>
      <c r="G4038" t="n">
        <v>3.9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s="2" t="inlineStr"/>
    </row>
    <row r="4039" ht="15" customHeight="1">
      <c r="A4039" t="inlineStr">
        <is>
          <t>A 8604-2022</t>
        </is>
      </c>
      <c r="B4039" s="1" t="n">
        <v>44613</v>
      </c>
      <c r="C4039" s="1" t="n">
        <v>45211</v>
      </c>
      <c r="D4039" t="inlineStr">
        <is>
          <t>ÖSTERGÖTLANDS LÄN</t>
        </is>
      </c>
      <c r="E4039" t="inlineStr">
        <is>
          <t>FINSPÅNG</t>
        </is>
      </c>
      <c r="G4039" t="n">
        <v>0.6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s="2" t="inlineStr"/>
    </row>
    <row r="4040" ht="15" customHeight="1">
      <c r="A4040" t="inlineStr">
        <is>
          <t>A 8628-2022</t>
        </is>
      </c>
      <c r="B4040" s="1" t="n">
        <v>44613</v>
      </c>
      <c r="C4040" s="1" t="n">
        <v>45211</v>
      </c>
      <c r="D4040" t="inlineStr">
        <is>
          <t>ÖSTERGÖTLANDS LÄN</t>
        </is>
      </c>
      <c r="E4040" t="inlineStr">
        <is>
          <t>SÖDERKÖPING</t>
        </is>
      </c>
      <c r="G4040" t="n">
        <v>2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s="2" t="inlineStr"/>
    </row>
    <row r="4041" ht="15" customHeight="1">
      <c r="A4041" t="inlineStr">
        <is>
          <t>A 8615-2022</t>
        </is>
      </c>
      <c r="B4041" s="1" t="n">
        <v>44613</v>
      </c>
      <c r="C4041" s="1" t="n">
        <v>45211</v>
      </c>
      <c r="D4041" t="inlineStr">
        <is>
          <t>ÖSTERGÖTLANDS LÄN</t>
        </is>
      </c>
      <c r="E4041" t="inlineStr">
        <is>
          <t>FINSPÅNG</t>
        </is>
      </c>
      <c r="F4041" t="inlineStr">
        <is>
          <t>Holmen skog AB</t>
        </is>
      </c>
      <c r="G4041" t="n">
        <v>0.5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s="2" t="inlineStr"/>
    </row>
    <row r="4042" ht="15" customHeight="1">
      <c r="A4042" t="inlineStr">
        <is>
          <t>A 8717-2022</t>
        </is>
      </c>
      <c r="B4042" s="1" t="n">
        <v>44613</v>
      </c>
      <c r="C4042" s="1" t="n">
        <v>45211</v>
      </c>
      <c r="D4042" t="inlineStr">
        <is>
          <t>ÖSTERGÖTLANDS LÄN</t>
        </is>
      </c>
      <c r="E4042" t="inlineStr">
        <is>
          <t>VALDEMARSVIK</t>
        </is>
      </c>
      <c r="G4042" t="n">
        <v>2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s="2" t="inlineStr"/>
    </row>
    <row r="4043" ht="15" customHeight="1">
      <c r="A4043" t="inlineStr">
        <is>
          <t>A 8937-2022</t>
        </is>
      </c>
      <c r="B4043" s="1" t="n">
        <v>44614</v>
      </c>
      <c r="C4043" s="1" t="n">
        <v>45211</v>
      </c>
      <c r="D4043" t="inlineStr">
        <is>
          <t>ÖSTERGÖTLANDS LÄN</t>
        </is>
      </c>
      <c r="E4043" t="inlineStr">
        <is>
          <t>FINSPÅNG</t>
        </is>
      </c>
      <c r="G4043" t="n">
        <v>0.8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s="2" t="inlineStr"/>
    </row>
    <row r="4044" ht="15" customHeight="1">
      <c r="A4044" t="inlineStr">
        <is>
          <t>A 9030-2022</t>
        </is>
      </c>
      <c r="B4044" s="1" t="n">
        <v>44615</v>
      </c>
      <c r="C4044" s="1" t="n">
        <v>45211</v>
      </c>
      <c r="D4044" t="inlineStr">
        <is>
          <t>ÖSTERGÖTLANDS LÄN</t>
        </is>
      </c>
      <c r="E4044" t="inlineStr">
        <is>
          <t>MJÖLBY</t>
        </is>
      </c>
      <c r="G4044" t="n">
        <v>2.1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s="2" t="inlineStr"/>
    </row>
    <row r="4045" ht="15" customHeight="1">
      <c r="A4045" t="inlineStr">
        <is>
          <t>A 9081-2022</t>
        </is>
      </c>
      <c r="B4045" s="1" t="n">
        <v>44615</v>
      </c>
      <c r="C4045" s="1" t="n">
        <v>45211</v>
      </c>
      <c r="D4045" t="inlineStr">
        <is>
          <t>ÖSTERGÖTLANDS LÄN</t>
        </is>
      </c>
      <c r="E4045" t="inlineStr">
        <is>
          <t>MOTALA</t>
        </is>
      </c>
      <c r="G4045" t="n">
        <v>5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s="2" t="inlineStr"/>
    </row>
    <row r="4046" ht="15" customHeight="1">
      <c r="A4046" t="inlineStr">
        <is>
          <t>A 9094-2022</t>
        </is>
      </c>
      <c r="B4046" s="1" t="n">
        <v>44615</v>
      </c>
      <c r="C4046" s="1" t="n">
        <v>45211</v>
      </c>
      <c r="D4046" t="inlineStr">
        <is>
          <t>ÖSTERGÖTLANDS LÄN</t>
        </is>
      </c>
      <c r="E4046" t="inlineStr">
        <is>
          <t>MOTALA</t>
        </is>
      </c>
      <c r="G4046" t="n">
        <v>1.1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s="2" t="inlineStr"/>
    </row>
    <row r="4047" ht="15" customHeight="1">
      <c r="A4047" t="inlineStr">
        <is>
          <t>A 9282-2022</t>
        </is>
      </c>
      <c r="B4047" s="1" t="n">
        <v>44616</v>
      </c>
      <c r="C4047" s="1" t="n">
        <v>45211</v>
      </c>
      <c r="D4047" t="inlineStr">
        <is>
          <t>ÖSTERGÖTLANDS LÄN</t>
        </is>
      </c>
      <c r="E4047" t="inlineStr">
        <is>
          <t>LINKÖPING</t>
        </is>
      </c>
      <c r="G4047" t="n">
        <v>0.9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s="2" t="inlineStr"/>
    </row>
    <row r="4048" ht="15" customHeight="1">
      <c r="A4048" t="inlineStr">
        <is>
          <t>A 9339-2022</t>
        </is>
      </c>
      <c r="B4048" s="1" t="n">
        <v>44616</v>
      </c>
      <c r="C4048" s="1" t="n">
        <v>45211</v>
      </c>
      <c r="D4048" t="inlineStr">
        <is>
          <t>ÖSTERGÖTLANDS LÄN</t>
        </is>
      </c>
      <c r="E4048" t="inlineStr">
        <is>
          <t>FINSPÅNG</t>
        </is>
      </c>
      <c r="F4048" t="inlineStr">
        <is>
          <t>Holmen skog AB</t>
        </is>
      </c>
      <c r="G4048" t="n">
        <v>1.7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s="2" t="inlineStr"/>
    </row>
    <row r="4049" ht="15" customHeight="1">
      <c r="A4049" t="inlineStr">
        <is>
          <t>A 9456-2022</t>
        </is>
      </c>
      <c r="B4049" s="1" t="n">
        <v>44616</v>
      </c>
      <c r="C4049" s="1" t="n">
        <v>45211</v>
      </c>
      <c r="D4049" t="inlineStr">
        <is>
          <t>ÖSTERGÖTLANDS LÄN</t>
        </is>
      </c>
      <c r="E4049" t="inlineStr">
        <is>
          <t>FINSPÅNG</t>
        </is>
      </c>
      <c r="F4049" t="inlineStr">
        <is>
          <t>Holmen skog AB</t>
        </is>
      </c>
      <c r="G4049" t="n">
        <v>1.2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s="2" t="inlineStr"/>
    </row>
    <row r="4050" ht="15" customHeight="1">
      <c r="A4050" t="inlineStr">
        <is>
          <t>A 9676-2022</t>
        </is>
      </c>
      <c r="B4050" s="1" t="n">
        <v>44617</v>
      </c>
      <c r="C4050" s="1" t="n">
        <v>45211</v>
      </c>
      <c r="D4050" t="inlineStr">
        <is>
          <t>ÖSTERGÖTLANDS LÄN</t>
        </is>
      </c>
      <c r="E4050" t="inlineStr">
        <is>
          <t>ÖDESHÖG</t>
        </is>
      </c>
      <c r="G4050" t="n">
        <v>2.4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s="2" t="inlineStr"/>
    </row>
    <row r="4051" ht="15" customHeight="1">
      <c r="A4051" t="inlineStr">
        <is>
          <t>A 9708-2022</t>
        </is>
      </c>
      <c r="B4051" s="1" t="n">
        <v>44617</v>
      </c>
      <c r="C4051" s="1" t="n">
        <v>45211</v>
      </c>
      <c r="D4051" t="inlineStr">
        <is>
          <t>ÖSTERGÖTLANDS LÄN</t>
        </is>
      </c>
      <c r="E4051" t="inlineStr">
        <is>
          <t>MOTALA</t>
        </is>
      </c>
      <c r="G4051" t="n">
        <v>0.4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s="2" t="inlineStr"/>
    </row>
    <row r="4052" ht="15" customHeight="1">
      <c r="A4052" t="inlineStr">
        <is>
          <t>A 9746-2022</t>
        </is>
      </c>
      <c r="B4052" s="1" t="n">
        <v>44618</v>
      </c>
      <c r="C4052" s="1" t="n">
        <v>45211</v>
      </c>
      <c r="D4052" t="inlineStr">
        <is>
          <t>ÖSTERGÖTLANDS LÄN</t>
        </is>
      </c>
      <c r="E4052" t="inlineStr">
        <is>
          <t>SÖDERKÖPING</t>
        </is>
      </c>
      <c r="G4052" t="n">
        <v>6.8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s="2" t="inlineStr"/>
    </row>
    <row r="4053" ht="15" customHeight="1">
      <c r="A4053" t="inlineStr">
        <is>
          <t>A 9904-2022</t>
        </is>
      </c>
      <c r="B4053" s="1" t="n">
        <v>44620</v>
      </c>
      <c r="C4053" s="1" t="n">
        <v>45211</v>
      </c>
      <c r="D4053" t="inlineStr">
        <is>
          <t>ÖSTERGÖTLANDS LÄN</t>
        </is>
      </c>
      <c r="E4053" t="inlineStr">
        <is>
          <t>YDRE</t>
        </is>
      </c>
      <c r="G4053" t="n">
        <v>1.9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s="2" t="inlineStr"/>
    </row>
    <row r="4054" ht="15" customHeight="1">
      <c r="A4054" t="inlineStr">
        <is>
          <t>A 9975-2022</t>
        </is>
      </c>
      <c r="B4054" s="1" t="n">
        <v>44621</v>
      </c>
      <c r="C4054" s="1" t="n">
        <v>45211</v>
      </c>
      <c r="D4054" t="inlineStr">
        <is>
          <t>ÖSTERGÖTLANDS LÄN</t>
        </is>
      </c>
      <c r="E4054" t="inlineStr">
        <is>
          <t>ÅTVIDABERG</t>
        </is>
      </c>
      <c r="G4054" t="n">
        <v>3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s="2" t="inlineStr"/>
    </row>
    <row r="4055" ht="15" customHeight="1">
      <c r="A4055" t="inlineStr">
        <is>
          <t>A 10001-2022</t>
        </is>
      </c>
      <c r="B4055" s="1" t="n">
        <v>44621</v>
      </c>
      <c r="C4055" s="1" t="n">
        <v>45211</v>
      </c>
      <c r="D4055" t="inlineStr">
        <is>
          <t>ÖSTERGÖTLANDS LÄN</t>
        </is>
      </c>
      <c r="E4055" t="inlineStr">
        <is>
          <t>YDRE</t>
        </is>
      </c>
      <c r="G4055" t="n">
        <v>6.5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s="2" t="inlineStr"/>
    </row>
    <row r="4056" ht="15" customHeight="1">
      <c r="A4056" t="inlineStr">
        <is>
          <t>A 10253-2022</t>
        </is>
      </c>
      <c r="B4056" s="1" t="n">
        <v>44622</v>
      </c>
      <c r="C4056" s="1" t="n">
        <v>45211</v>
      </c>
      <c r="D4056" t="inlineStr">
        <is>
          <t>ÖSTERGÖTLANDS LÄN</t>
        </is>
      </c>
      <c r="E4056" t="inlineStr">
        <is>
          <t>LINKÖPING</t>
        </is>
      </c>
      <c r="G4056" t="n">
        <v>1.6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s="2" t="inlineStr"/>
    </row>
    <row r="4057" ht="15" customHeight="1">
      <c r="A4057" t="inlineStr">
        <is>
          <t>A 10226-2022</t>
        </is>
      </c>
      <c r="B4057" s="1" t="n">
        <v>44622</v>
      </c>
      <c r="C4057" s="1" t="n">
        <v>45211</v>
      </c>
      <c r="D4057" t="inlineStr">
        <is>
          <t>ÖSTERGÖTLANDS LÄN</t>
        </is>
      </c>
      <c r="E4057" t="inlineStr">
        <is>
          <t>ÖDESHÖG</t>
        </is>
      </c>
      <c r="G4057" t="n">
        <v>2.2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s="2" t="inlineStr"/>
    </row>
    <row r="4058" ht="15" customHeight="1">
      <c r="A4058" t="inlineStr">
        <is>
          <t>A 10282-2022</t>
        </is>
      </c>
      <c r="B4058" s="1" t="n">
        <v>44622</v>
      </c>
      <c r="C4058" s="1" t="n">
        <v>45211</v>
      </c>
      <c r="D4058" t="inlineStr">
        <is>
          <t>ÖSTERGÖTLANDS LÄN</t>
        </is>
      </c>
      <c r="E4058" t="inlineStr">
        <is>
          <t>NORRKÖPING</t>
        </is>
      </c>
      <c r="F4058" t="inlineStr">
        <is>
          <t>Holmen skog AB</t>
        </is>
      </c>
      <c r="G4058" t="n">
        <v>4.6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s="2" t="inlineStr"/>
    </row>
    <row r="4059" ht="15" customHeight="1">
      <c r="A4059" t="inlineStr">
        <is>
          <t>A 10699-2022</t>
        </is>
      </c>
      <c r="B4059" s="1" t="n">
        <v>44624</v>
      </c>
      <c r="C4059" s="1" t="n">
        <v>45211</v>
      </c>
      <c r="D4059" t="inlineStr">
        <is>
          <t>ÖSTERGÖTLANDS LÄN</t>
        </is>
      </c>
      <c r="E4059" t="inlineStr">
        <is>
          <t>YDRE</t>
        </is>
      </c>
      <c r="G4059" t="n">
        <v>2.4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s="2" t="inlineStr"/>
    </row>
    <row r="4060" ht="15" customHeight="1">
      <c r="A4060" t="inlineStr">
        <is>
          <t>A 10758-2022</t>
        </is>
      </c>
      <c r="B4060" s="1" t="n">
        <v>44627</v>
      </c>
      <c r="C4060" s="1" t="n">
        <v>45211</v>
      </c>
      <c r="D4060" t="inlineStr">
        <is>
          <t>ÖSTERGÖTLANDS LÄN</t>
        </is>
      </c>
      <c r="E4060" t="inlineStr">
        <is>
          <t>KINDA</t>
        </is>
      </c>
      <c r="G4060" t="n">
        <v>0.1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s="2" t="inlineStr"/>
    </row>
    <row r="4061" ht="15" customHeight="1">
      <c r="A4061" t="inlineStr">
        <is>
          <t>A 10887-2022</t>
        </is>
      </c>
      <c r="B4061" s="1" t="n">
        <v>44627</v>
      </c>
      <c r="C4061" s="1" t="n">
        <v>45211</v>
      </c>
      <c r="D4061" t="inlineStr">
        <is>
          <t>ÖSTERGÖTLANDS LÄN</t>
        </is>
      </c>
      <c r="E4061" t="inlineStr">
        <is>
          <t>FINSPÅNG</t>
        </is>
      </c>
      <c r="G4061" t="n">
        <v>0.6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s="2" t="inlineStr"/>
    </row>
    <row r="4062" ht="15" customHeight="1">
      <c r="A4062" t="inlineStr">
        <is>
          <t>A 10950-2022</t>
        </is>
      </c>
      <c r="B4062" s="1" t="n">
        <v>44627</v>
      </c>
      <c r="C4062" s="1" t="n">
        <v>45211</v>
      </c>
      <c r="D4062" t="inlineStr">
        <is>
          <t>ÖSTERGÖTLANDS LÄN</t>
        </is>
      </c>
      <c r="E4062" t="inlineStr">
        <is>
          <t>MJÖLBY</t>
        </is>
      </c>
      <c r="G4062" t="n">
        <v>4.1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s="2" t="inlineStr"/>
    </row>
    <row r="4063" ht="15" customHeight="1">
      <c r="A4063" t="inlineStr">
        <is>
          <t>A 9644-2022</t>
        </is>
      </c>
      <c r="B4063" s="1" t="n">
        <v>44627</v>
      </c>
      <c r="C4063" s="1" t="n">
        <v>45211</v>
      </c>
      <c r="D4063" t="inlineStr">
        <is>
          <t>ÖSTERGÖTLANDS LÄN</t>
        </is>
      </c>
      <c r="E4063" t="inlineStr">
        <is>
          <t>ÅTVIDABERG</t>
        </is>
      </c>
      <c r="G4063" t="n">
        <v>0.8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s="2" t="inlineStr"/>
    </row>
    <row r="4064" ht="15" customHeight="1">
      <c r="A4064" t="inlineStr">
        <is>
          <t>A 10820-2022</t>
        </is>
      </c>
      <c r="B4064" s="1" t="n">
        <v>44627</v>
      </c>
      <c r="C4064" s="1" t="n">
        <v>45211</v>
      </c>
      <c r="D4064" t="inlineStr">
        <is>
          <t>ÖSTERGÖTLANDS LÄN</t>
        </is>
      </c>
      <c r="E4064" t="inlineStr">
        <is>
          <t>ÅTVIDABERG</t>
        </is>
      </c>
      <c r="G4064" t="n">
        <v>1.8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s="2" t="inlineStr"/>
    </row>
    <row r="4065" ht="15" customHeight="1">
      <c r="A4065" t="inlineStr">
        <is>
          <t>A 10951-2022</t>
        </is>
      </c>
      <c r="B4065" s="1" t="n">
        <v>44627</v>
      </c>
      <c r="C4065" s="1" t="n">
        <v>45211</v>
      </c>
      <c r="D4065" t="inlineStr">
        <is>
          <t>ÖSTERGÖTLANDS LÄN</t>
        </is>
      </c>
      <c r="E4065" t="inlineStr">
        <is>
          <t>LINKÖPING</t>
        </is>
      </c>
      <c r="G4065" t="n">
        <v>0.8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s="2" t="inlineStr"/>
    </row>
    <row r="4066" ht="15" customHeight="1">
      <c r="A4066" t="inlineStr">
        <is>
          <t>A 10836-2022</t>
        </is>
      </c>
      <c r="B4066" s="1" t="n">
        <v>44627</v>
      </c>
      <c r="C4066" s="1" t="n">
        <v>45211</v>
      </c>
      <c r="D4066" t="inlineStr">
        <is>
          <t>ÖSTERGÖTLANDS LÄN</t>
        </is>
      </c>
      <c r="E4066" t="inlineStr">
        <is>
          <t>SÖDERKÖPING</t>
        </is>
      </c>
      <c r="G4066" t="n">
        <v>1.2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s="2" t="inlineStr"/>
    </row>
    <row r="4067" ht="15" customHeight="1">
      <c r="A4067" t="inlineStr">
        <is>
          <t>A 10885-2022</t>
        </is>
      </c>
      <c r="B4067" s="1" t="n">
        <v>44627</v>
      </c>
      <c r="C4067" s="1" t="n">
        <v>45211</v>
      </c>
      <c r="D4067" t="inlineStr">
        <is>
          <t>ÖSTERGÖTLANDS LÄN</t>
        </is>
      </c>
      <c r="E4067" t="inlineStr">
        <is>
          <t>FINSPÅNG</t>
        </is>
      </c>
      <c r="G4067" t="n">
        <v>1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s="2" t="inlineStr"/>
    </row>
    <row r="4068" ht="15" customHeight="1">
      <c r="A4068" t="inlineStr">
        <is>
          <t>A 11057-2022</t>
        </is>
      </c>
      <c r="B4068" s="1" t="n">
        <v>44628</v>
      </c>
      <c r="C4068" s="1" t="n">
        <v>45211</v>
      </c>
      <c r="D4068" t="inlineStr">
        <is>
          <t>ÖSTERGÖTLANDS LÄN</t>
        </is>
      </c>
      <c r="E4068" t="inlineStr">
        <is>
          <t>MOTALA</t>
        </is>
      </c>
      <c r="F4068" t="inlineStr">
        <is>
          <t>Allmännings- och besparingsskogar</t>
        </is>
      </c>
      <c r="G4068" t="n">
        <v>11.8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s="2" t="inlineStr"/>
    </row>
    <row r="4069" ht="15" customHeight="1">
      <c r="A4069" t="inlineStr">
        <is>
          <t>A 11061-2022</t>
        </is>
      </c>
      <c r="B4069" s="1" t="n">
        <v>44628</v>
      </c>
      <c r="C4069" s="1" t="n">
        <v>45211</v>
      </c>
      <c r="D4069" t="inlineStr">
        <is>
          <t>ÖSTERGÖTLANDS LÄN</t>
        </is>
      </c>
      <c r="E4069" t="inlineStr">
        <is>
          <t>MOTALA</t>
        </is>
      </c>
      <c r="F4069" t="inlineStr">
        <is>
          <t>Allmännings- och besparingsskogar</t>
        </is>
      </c>
      <c r="G4069" t="n">
        <v>5.8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s="2" t="inlineStr"/>
    </row>
    <row r="4070" ht="15" customHeight="1">
      <c r="A4070" t="inlineStr">
        <is>
          <t>A 11079-2022</t>
        </is>
      </c>
      <c r="B4070" s="1" t="n">
        <v>44628</v>
      </c>
      <c r="C4070" s="1" t="n">
        <v>45211</v>
      </c>
      <c r="D4070" t="inlineStr">
        <is>
          <t>ÖSTERGÖTLANDS LÄN</t>
        </is>
      </c>
      <c r="E4070" t="inlineStr">
        <is>
          <t>LINKÖPING</t>
        </is>
      </c>
      <c r="G4070" t="n">
        <v>1.8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s="2" t="inlineStr"/>
    </row>
    <row r="4071" ht="15" customHeight="1">
      <c r="A4071" t="inlineStr">
        <is>
          <t>A 11041-2022</t>
        </is>
      </c>
      <c r="B4071" s="1" t="n">
        <v>44628</v>
      </c>
      <c r="C4071" s="1" t="n">
        <v>45211</v>
      </c>
      <c r="D4071" t="inlineStr">
        <is>
          <t>ÖSTERGÖTLANDS LÄN</t>
        </is>
      </c>
      <c r="E4071" t="inlineStr">
        <is>
          <t>MOTALA</t>
        </is>
      </c>
      <c r="F4071" t="inlineStr">
        <is>
          <t>Allmännings- och besparingsskogar</t>
        </is>
      </c>
      <c r="G4071" t="n">
        <v>7.1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s="2" t="inlineStr"/>
    </row>
    <row r="4072" ht="15" customHeight="1">
      <c r="A4072" t="inlineStr">
        <is>
          <t>A 11051-2022</t>
        </is>
      </c>
      <c r="B4072" s="1" t="n">
        <v>44628</v>
      </c>
      <c r="C4072" s="1" t="n">
        <v>45211</v>
      </c>
      <c r="D4072" t="inlineStr">
        <is>
          <t>ÖSTERGÖTLANDS LÄN</t>
        </is>
      </c>
      <c r="E4072" t="inlineStr">
        <is>
          <t>MOTALA</t>
        </is>
      </c>
      <c r="F4072" t="inlineStr">
        <is>
          <t>Allmännings- och besparingsskogar</t>
        </is>
      </c>
      <c r="G4072" t="n">
        <v>3.4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s="2" t="inlineStr"/>
    </row>
    <row r="4073" ht="15" customHeight="1">
      <c r="A4073" t="inlineStr">
        <is>
          <t>A 11084-2022</t>
        </is>
      </c>
      <c r="B4073" s="1" t="n">
        <v>44628</v>
      </c>
      <c r="C4073" s="1" t="n">
        <v>45211</v>
      </c>
      <c r="D4073" t="inlineStr">
        <is>
          <t>ÖSTERGÖTLANDS LÄN</t>
        </is>
      </c>
      <c r="E4073" t="inlineStr">
        <is>
          <t>LINKÖPING</t>
        </is>
      </c>
      <c r="G4073" t="n">
        <v>0.5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s="2" t="inlineStr"/>
    </row>
    <row r="4074" ht="15" customHeight="1">
      <c r="A4074" t="inlineStr">
        <is>
          <t>A 11222-2022</t>
        </is>
      </c>
      <c r="B4074" s="1" t="n">
        <v>44629</v>
      </c>
      <c r="C4074" s="1" t="n">
        <v>45211</v>
      </c>
      <c r="D4074" t="inlineStr">
        <is>
          <t>ÖSTERGÖTLANDS LÄN</t>
        </is>
      </c>
      <c r="E4074" t="inlineStr">
        <is>
          <t>ÅTVIDABERG</t>
        </is>
      </c>
      <c r="G4074" t="n">
        <v>1.1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s="2" t="inlineStr"/>
    </row>
    <row r="4075" ht="15" customHeight="1">
      <c r="A4075" t="inlineStr">
        <is>
          <t>A 11252-2022</t>
        </is>
      </c>
      <c r="B4075" s="1" t="n">
        <v>44629</v>
      </c>
      <c r="C4075" s="1" t="n">
        <v>45211</v>
      </c>
      <c r="D4075" t="inlineStr">
        <is>
          <t>ÖSTERGÖTLANDS LÄN</t>
        </is>
      </c>
      <c r="E4075" t="inlineStr">
        <is>
          <t>VALDEMARSVIK</t>
        </is>
      </c>
      <c r="G4075" t="n">
        <v>1.6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s="2" t="inlineStr"/>
    </row>
    <row r="4076" ht="15" customHeight="1">
      <c r="A4076" t="inlineStr">
        <is>
          <t>A 11268-2022</t>
        </is>
      </c>
      <c r="B4076" s="1" t="n">
        <v>44629</v>
      </c>
      <c r="C4076" s="1" t="n">
        <v>45211</v>
      </c>
      <c r="D4076" t="inlineStr">
        <is>
          <t>ÖSTERGÖTLANDS LÄN</t>
        </is>
      </c>
      <c r="E4076" t="inlineStr">
        <is>
          <t>NORRKÖPING</t>
        </is>
      </c>
      <c r="G4076" t="n">
        <v>4.2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s="2" t="inlineStr"/>
    </row>
    <row r="4077" ht="15" customHeight="1">
      <c r="A4077" t="inlineStr">
        <is>
          <t>A 11344-2022</t>
        </is>
      </c>
      <c r="B4077" s="1" t="n">
        <v>44630</v>
      </c>
      <c r="C4077" s="1" t="n">
        <v>45211</v>
      </c>
      <c r="D4077" t="inlineStr">
        <is>
          <t>ÖSTERGÖTLANDS LÄN</t>
        </is>
      </c>
      <c r="E4077" t="inlineStr">
        <is>
          <t>NORRKÖPING</t>
        </is>
      </c>
      <c r="G4077" t="n">
        <v>2.3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s="2" t="inlineStr"/>
    </row>
    <row r="4078" ht="15" customHeight="1">
      <c r="A4078" t="inlineStr">
        <is>
          <t>A 11404-2022</t>
        </is>
      </c>
      <c r="B4078" s="1" t="n">
        <v>44630</v>
      </c>
      <c r="C4078" s="1" t="n">
        <v>45211</v>
      </c>
      <c r="D4078" t="inlineStr">
        <is>
          <t>ÖSTERGÖTLANDS LÄN</t>
        </is>
      </c>
      <c r="E4078" t="inlineStr">
        <is>
          <t>NORRKÖPING</t>
        </is>
      </c>
      <c r="G4078" t="n">
        <v>1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s="2" t="inlineStr"/>
    </row>
    <row r="4079" ht="15" customHeight="1">
      <c r="A4079" t="inlineStr">
        <is>
          <t>A 11505-2022</t>
        </is>
      </c>
      <c r="B4079" s="1" t="n">
        <v>44631</v>
      </c>
      <c r="C4079" s="1" t="n">
        <v>45211</v>
      </c>
      <c r="D4079" t="inlineStr">
        <is>
          <t>ÖSTERGÖTLANDS LÄN</t>
        </is>
      </c>
      <c r="E4079" t="inlineStr">
        <is>
          <t>ÅTVIDABERG</t>
        </is>
      </c>
      <c r="G4079" t="n">
        <v>0.9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s="2" t="inlineStr"/>
    </row>
    <row r="4080" ht="15" customHeight="1">
      <c r="A4080" t="inlineStr">
        <is>
          <t>A 11749-2022</t>
        </is>
      </c>
      <c r="B4080" s="1" t="n">
        <v>44634</v>
      </c>
      <c r="C4080" s="1" t="n">
        <v>45211</v>
      </c>
      <c r="D4080" t="inlineStr">
        <is>
          <t>ÖSTERGÖTLANDS LÄN</t>
        </is>
      </c>
      <c r="E4080" t="inlineStr">
        <is>
          <t>YDRE</t>
        </is>
      </c>
      <c r="G4080" t="n">
        <v>1.5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s="2" t="inlineStr"/>
    </row>
    <row r="4081" ht="15" customHeight="1">
      <c r="A4081" t="inlineStr">
        <is>
          <t>A 11902-2022</t>
        </is>
      </c>
      <c r="B4081" s="1" t="n">
        <v>44635</v>
      </c>
      <c r="C4081" s="1" t="n">
        <v>45211</v>
      </c>
      <c r="D4081" t="inlineStr">
        <is>
          <t>ÖSTERGÖTLANDS LÄN</t>
        </is>
      </c>
      <c r="E4081" t="inlineStr">
        <is>
          <t>YDRE</t>
        </is>
      </c>
      <c r="G4081" t="n">
        <v>1.6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s="2" t="inlineStr"/>
    </row>
    <row r="4082" ht="15" customHeight="1">
      <c r="A4082" t="inlineStr">
        <is>
          <t>A 12094-2022</t>
        </is>
      </c>
      <c r="B4082" s="1" t="n">
        <v>44636</v>
      </c>
      <c r="C4082" s="1" t="n">
        <v>45211</v>
      </c>
      <c r="D4082" t="inlineStr">
        <is>
          <t>ÖSTERGÖTLANDS LÄN</t>
        </is>
      </c>
      <c r="E4082" t="inlineStr">
        <is>
          <t>VALDEMARSVIK</t>
        </is>
      </c>
      <c r="G4082" t="n">
        <v>6.7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s="2" t="inlineStr"/>
    </row>
    <row r="4083" ht="15" customHeight="1">
      <c r="A4083" t="inlineStr">
        <is>
          <t>A 12216-2022</t>
        </is>
      </c>
      <c r="B4083" s="1" t="n">
        <v>44637</v>
      </c>
      <c r="C4083" s="1" t="n">
        <v>45211</v>
      </c>
      <c r="D4083" t="inlineStr">
        <is>
          <t>ÖSTERGÖTLANDS LÄN</t>
        </is>
      </c>
      <c r="E4083" t="inlineStr">
        <is>
          <t>FINSPÅNG</t>
        </is>
      </c>
      <c r="G4083" t="n">
        <v>4.1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s="2" t="inlineStr"/>
    </row>
    <row r="4084" ht="15" customHeight="1">
      <c r="A4084" t="inlineStr">
        <is>
          <t>A 12275-2022</t>
        </is>
      </c>
      <c r="B4084" s="1" t="n">
        <v>44637</v>
      </c>
      <c r="C4084" s="1" t="n">
        <v>45211</v>
      </c>
      <c r="D4084" t="inlineStr">
        <is>
          <t>ÖSTERGÖTLANDS LÄN</t>
        </is>
      </c>
      <c r="E4084" t="inlineStr">
        <is>
          <t>MOTALA</t>
        </is>
      </c>
      <c r="G4084" t="n">
        <v>1.1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s="2" t="inlineStr"/>
    </row>
    <row r="4085" ht="15" customHeight="1">
      <c r="A4085" t="inlineStr">
        <is>
          <t>A 12274-2022</t>
        </is>
      </c>
      <c r="B4085" s="1" t="n">
        <v>44637</v>
      </c>
      <c r="C4085" s="1" t="n">
        <v>45211</v>
      </c>
      <c r="D4085" t="inlineStr">
        <is>
          <t>ÖSTERGÖTLANDS LÄN</t>
        </is>
      </c>
      <c r="E4085" t="inlineStr">
        <is>
          <t>MOTALA</t>
        </is>
      </c>
      <c r="G4085" t="n">
        <v>1.8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s="2" t="inlineStr"/>
    </row>
    <row r="4086" ht="15" customHeight="1">
      <c r="A4086" t="inlineStr">
        <is>
          <t>A 12413-2022</t>
        </is>
      </c>
      <c r="B4086" s="1" t="n">
        <v>44638</v>
      </c>
      <c r="C4086" s="1" t="n">
        <v>45211</v>
      </c>
      <c r="D4086" t="inlineStr">
        <is>
          <t>ÖSTERGÖTLANDS LÄN</t>
        </is>
      </c>
      <c r="E4086" t="inlineStr">
        <is>
          <t>LINKÖPING</t>
        </is>
      </c>
      <c r="G4086" t="n">
        <v>1.3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s="2" t="inlineStr"/>
    </row>
    <row r="4087" ht="15" customHeight="1">
      <c r="A4087" t="inlineStr">
        <is>
          <t>A 12412-2022</t>
        </is>
      </c>
      <c r="B4087" s="1" t="n">
        <v>44638</v>
      </c>
      <c r="C4087" s="1" t="n">
        <v>45211</v>
      </c>
      <c r="D4087" t="inlineStr">
        <is>
          <t>ÖSTERGÖTLANDS LÄN</t>
        </is>
      </c>
      <c r="E4087" t="inlineStr">
        <is>
          <t>LINKÖPING</t>
        </is>
      </c>
      <c r="G4087" t="n">
        <v>1.7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s="2" t="inlineStr"/>
    </row>
    <row r="4088" ht="15" customHeight="1">
      <c r="A4088" t="inlineStr">
        <is>
          <t>A 12720-2022</t>
        </is>
      </c>
      <c r="B4088" s="1" t="n">
        <v>44641</v>
      </c>
      <c r="C4088" s="1" t="n">
        <v>45211</v>
      </c>
      <c r="D4088" t="inlineStr">
        <is>
          <t>ÖSTERGÖTLANDS LÄN</t>
        </is>
      </c>
      <c r="E4088" t="inlineStr">
        <is>
          <t>LINKÖPING</t>
        </is>
      </c>
      <c r="F4088" t="inlineStr">
        <is>
          <t>Övriga Aktiebolag</t>
        </is>
      </c>
      <c r="G4088" t="n">
        <v>2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s="2" t="inlineStr"/>
    </row>
    <row r="4089" ht="15" customHeight="1">
      <c r="A4089" t="inlineStr">
        <is>
          <t>A 12643-2022</t>
        </is>
      </c>
      <c r="B4089" s="1" t="n">
        <v>44641</v>
      </c>
      <c r="C4089" s="1" t="n">
        <v>45211</v>
      </c>
      <c r="D4089" t="inlineStr">
        <is>
          <t>ÖSTERGÖTLANDS LÄN</t>
        </is>
      </c>
      <c r="E4089" t="inlineStr">
        <is>
          <t>MOTALA</t>
        </is>
      </c>
      <c r="G4089" t="n">
        <v>4.1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s="2" t="inlineStr"/>
    </row>
    <row r="4090" ht="15" customHeight="1">
      <c r="A4090" t="inlineStr">
        <is>
          <t>A 12655-2022</t>
        </is>
      </c>
      <c r="B4090" s="1" t="n">
        <v>44641</v>
      </c>
      <c r="C4090" s="1" t="n">
        <v>45211</v>
      </c>
      <c r="D4090" t="inlineStr">
        <is>
          <t>ÖSTERGÖTLANDS LÄN</t>
        </is>
      </c>
      <c r="E4090" t="inlineStr">
        <is>
          <t>ÅTVIDABERG</t>
        </is>
      </c>
      <c r="G4090" t="n">
        <v>1.6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s="2" t="inlineStr"/>
    </row>
    <row r="4091" ht="15" customHeight="1">
      <c r="A4091" t="inlineStr">
        <is>
          <t>A 12654-2022</t>
        </is>
      </c>
      <c r="B4091" s="1" t="n">
        <v>44641</v>
      </c>
      <c r="C4091" s="1" t="n">
        <v>45211</v>
      </c>
      <c r="D4091" t="inlineStr">
        <is>
          <t>ÖSTERGÖTLANDS LÄN</t>
        </is>
      </c>
      <c r="E4091" t="inlineStr">
        <is>
          <t>ÅTVIDABERG</t>
        </is>
      </c>
      <c r="G4091" t="n">
        <v>1.8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s="2" t="inlineStr"/>
    </row>
    <row r="4092" ht="15" customHeight="1">
      <c r="A4092" t="inlineStr">
        <is>
          <t>A 12898-2022</t>
        </is>
      </c>
      <c r="B4092" s="1" t="n">
        <v>44642</v>
      </c>
      <c r="C4092" s="1" t="n">
        <v>45211</v>
      </c>
      <c r="D4092" t="inlineStr">
        <is>
          <t>ÖSTERGÖTLANDS LÄN</t>
        </is>
      </c>
      <c r="E4092" t="inlineStr">
        <is>
          <t>FINSPÅNG</t>
        </is>
      </c>
      <c r="G4092" t="n">
        <v>1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s="2" t="inlineStr"/>
    </row>
    <row r="4093" ht="15" customHeight="1">
      <c r="A4093" t="inlineStr">
        <is>
          <t>A 13075-2022</t>
        </is>
      </c>
      <c r="B4093" s="1" t="n">
        <v>44643</v>
      </c>
      <c r="C4093" s="1" t="n">
        <v>45211</v>
      </c>
      <c r="D4093" t="inlineStr">
        <is>
          <t>ÖSTERGÖTLANDS LÄN</t>
        </is>
      </c>
      <c r="E4093" t="inlineStr">
        <is>
          <t>LINKÖPING</t>
        </is>
      </c>
      <c r="G4093" t="n">
        <v>2.2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s="2" t="inlineStr"/>
    </row>
    <row r="4094" ht="15" customHeight="1">
      <c r="A4094" t="inlineStr">
        <is>
          <t>A 13011-2022</t>
        </is>
      </c>
      <c r="B4094" s="1" t="n">
        <v>44643</v>
      </c>
      <c r="C4094" s="1" t="n">
        <v>45211</v>
      </c>
      <c r="D4094" t="inlineStr">
        <is>
          <t>ÖSTERGÖTLANDS LÄN</t>
        </is>
      </c>
      <c r="E4094" t="inlineStr">
        <is>
          <t>LINKÖPING</t>
        </is>
      </c>
      <c r="G4094" t="n">
        <v>3.7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s="2" t="inlineStr"/>
    </row>
    <row r="4095" ht="15" customHeight="1">
      <c r="A4095" t="inlineStr">
        <is>
          <t>A 13178-2022</t>
        </is>
      </c>
      <c r="B4095" s="1" t="n">
        <v>44644</v>
      </c>
      <c r="C4095" s="1" t="n">
        <v>45211</v>
      </c>
      <c r="D4095" t="inlineStr">
        <is>
          <t>ÖSTERGÖTLANDS LÄN</t>
        </is>
      </c>
      <c r="E4095" t="inlineStr">
        <is>
          <t>KINDA</t>
        </is>
      </c>
      <c r="G4095" t="n">
        <v>1.4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s="2" t="inlineStr"/>
    </row>
    <row r="4096" ht="15" customHeight="1">
      <c r="A4096" t="inlineStr">
        <is>
          <t>A 13267-2022</t>
        </is>
      </c>
      <c r="B4096" s="1" t="n">
        <v>44644</v>
      </c>
      <c r="C4096" s="1" t="n">
        <v>45211</v>
      </c>
      <c r="D4096" t="inlineStr">
        <is>
          <t>ÖSTERGÖTLANDS LÄN</t>
        </is>
      </c>
      <c r="E4096" t="inlineStr">
        <is>
          <t>FINSPÅNG</t>
        </is>
      </c>
      <c r="G4096" t="n">
        <v>0.5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s="2" t="inlineStr"/>
    </row>
    <row r="4097" ht="15" customHeight="1">
      <c r="A4097" t="inlineStr">
        <is>
          <t>A 13173-2022</t>
        </is>
      </c>
      <c r="B4097" s="1" t="n">
        <v>44644</v>
      </c>
      <c r="C4097" s="1" t="n">
        <v>45211</v>
      </c>
      <c r="D4097" t="inlineStr">
        <is>
          <t>ÖSTERGÖTLANDS LÄN</t>
        </is>
      </c>
      <c r="E4097" t="inlineStr">
        <is>
          <t>NORRKÖPING</t>
        </is>
      </c>
      <c r="F4097" t="inlineStr">
        <is>
          <t>Allmännings- och besparingsskogar</t>
        </is>
      </c>
      <c r="G4097" t="n">
        <v>2.1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s="2" t="inlineStr"/>
    </row>
    <row r="4098" ht="15" customHeight="1">
      <c r="A4098" t="inlineStr">
        <is>
          <t>A 13422-2022</t>
        </is>
      </c>
      <c r="B4098" s="1" t="n">
        <v>44645</v>
      </c>
      <c r="C4098" s="1" t="n">
        <v>45211</v>
      </c>
      <c r="D4098" t="inlineStr">
        <is>
          <t>ÖSTERGÖTLANDS LÄN</t>
        </is>
      </c>
      <c r="E4098" t="inlineStr">
        <is>
          <t>MOTALA</t>
        </is>
      </c>
      <c r="G4098" t="n">
        <v>2.2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s="2" t="inlineStr"/>
    </row>
    <row r="4099" ht="15" customHeight="1">
      <c r="A4099" t="inlineStr">
        <is>
          <t>A 13420-2022</t>
        </is>
      </c>
      <c r="B4099" s="1" t="n">
        <v>44645</v>
      </c>
      <c r="C4099" s="1" t="n">
        <v>45211</v>
      </c>
      <c r="D4099" t="inlineStr">
        <is>
          <t>ÖSTERGÖTLANDS LÄN</t>
        </is>
      </c>
      <c r="E4099" t="inlineStr">
        <is>
          <t>MOTALA</t>
        </is>
      </c>
      <c r="G4099" t="n">
        <v>0.7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s="2" t="inlineStr"/>
    </row>
    <row r="4100" ht="15" customHeight="1">
      <c r="A4100" t="inlineStr">
        <is>
          <t>A 13352-2022</t>
        </is>
      </c>
      <c r="B4100" s="1" t="n">
        <v>44645</v>
      </c>
      <c r="C4100" s="1" t="n">
        <v>45211</v>
      </c>
      <c r="D4100" t="inlineStr">
        <is>
          <t>ÖSTERGÖTLANDS LÄN</t>
        </is>
      </c>
      <c r="E4100" t="inlineStr">
        <is>
          <t>KINDA</t>
        </is>
      </c>
      <c r="G4100" t="n">
        <v>0.3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s="2" t="inlineStr"/>
    </row>
    <row r="4101" ht="15" customHeight="1">
      <c r="A4101" t="inlineStr">
        <is>
          <t>A 13550-2022</t>
        </is>
      </c>
      <c r="B4101" s="1" t="n">
        <v>44648</v>
      </c>
      <c r="C4101" s="1" t="n">
        <v>45211</v>
      </c>
      <c r="D4101" t="inlineStr">
        <is>
          <t>ÖSTERGÖTLANDS LÄN</t>
        </is>
      </c>
      <c r="E4101" t="inlineStr">
        <is>
          <t>MOTALA</t>
        </is>
      </c>
      <c r="G4101" t="n">
        <v>13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s="2" t="inlineStr"/>
    </row>
    <row r="4102" ht="15" customHeight="1">
      <c r="A4102" t="inlineStr">
        <is>
          <t>A 13814-2022</t>
        </is>
      </c>
      <c r="B4102" s="1" t="n">
        <v>44649</v>
      </c>
      <c r="C4102" s="1" t="n">
        <v>45211</v>
      </c>
      <c r="D4102" t="inlineStr">
        <is>
          <t>ÖSTERGÖTLANDS LÄN</t>
        </is>
      </c>
      <c r="E4102" t="inlineStr">
        <is>
          <t>NORRKÖPING</t>
        </is>
      </c>
      <c r="G4102" t="n">
        <v>6.8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s="2" t="inlineStr"/>
    </row>
    <row r="4103" ht="15" customHeight="1">
      <c r="A4103" t="inlineStr">
        <is>
          <t>A 13724-2022</t>
        </is>
      </c>
      <c r="B4103" s="1" t="n">
        <v>44649</v>
      </c>
      <c r="C4103" s="1" t="n">
        <v>45211</v>
      </c>
      <c r="D4103" t="inlineStr">
        <is>
          <t>ÖSTERGÖTLANDS LÄN</t>
        </is>
      </c>
      <c r="E4103" t="inlineStr">
        <is>
          <t>NORRKÖPING</t>
        </is>
      </c>
      <c r="F4103" t="inlineStr">
        <is>
          <t>Holmen skog AB</t>
        </is>
      </c>
      <c r="G4103" t="n">
        <v>3.3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s="2" t="inlineStr"/>
    </row>
    <row r="4104" ht="15" customHeight="1">
      <c r="A4104" t="inlineStr">
        <is>
          <t>A 13889-2022</t>
        </is>
      </c>
      <c r="B4104" s="1" t="n">
        <v>44650</v>
      </c>
      <c r="C4104" s="1" t="n">
        <v>45211</v>
      </c>
      <c r="D4104" t="inlineStr">
        <is>
          <t>ÖSTERGÖTLANDS LÄN</t>
        </is>
      </c>
      <c r="E4104" t="inlineStr">
        <is>
          <t>VALDEMARSVIK</t>
        </is>
      </c>
      <c r="G4104" t="n">
        <v>3.2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s="2" t="inlineStr"/>
    </row>
    <row r="4105" ht="15" customHeight="1">
      <c r="A4105" t="inlineStr">
        <is>
          <t>A 13993-2022</t>
        </is>
      </c>
      <c r="B4105" s="1" t="n">
        <v>44650</v>
      </c>
      <c r="C4105" s="1" t="n">
        <v>45211</v>
      </c>
      <c r="D4105" t="inlineStr">
        <is>
          <t>ÖSTERGÖTLANDS LÄN</t>
        </is>
      </c>
      <c r="E4105" t="inlineStr">
        <is>
          <t>BOXHOLM</t>
        </is>
      </c>
      <c r="G4105" t="n">
        <v>2.5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s="2" t="inlineStr"/>
    </row>
    <row r="4106" ht="15" customHeight="1">
      <c r="A4106" t="inlineStr">
        <is>
          <t>A 13935-2022</t>
        </is>
      </c>
      <c r="B4106" s="1" t="n">
        <v>44650</v>
      </c>
      <c r="C4106" s="1" t="n">
        <v>45211</v>
      </c>
      <c r="D4106" t="inlineStr">
        <is>
          <t>ÖSTERGÖTLANDS LÄN</t>
        </is>
      </c>
      <c r="E4106" t="inlineStr">
        <is>
          <t>YDRE</t>
        </is>
      </c>
      <c r="G4106" t="n">
        <v>1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s="2" t="inlineStr"/>
    </row>
    <row r="4107" ht="15" customHeight="1">
      <c r="A4107" t="inlineStr">
        <is>
          <t>A 14004-2022</t>
        </is>
      </c>
      <c r="B4107" s="1" t="n">
        <v>44650</v>
      </c>
      <c r="C4107" s="1" t="n">
        <v>45211</v>
      </c>
      <c r="D4107" t="inlineStr">
        <is>
          <t>ÖSTERGÖTLANDS LÄN</t>
        </is>
      </c>
      <c r="E4107" t="inlineStr">
        <is>
          <t>VALDEMARSVIK</t>
        </is>
      </c>
      <c r="G4107" t="n">
        <v>1.9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s="2" t="inlineStr"/>
    </row>
    <row r="4108" ht="15" customHeight="1">
      <c r="A4108" t="inlineStr">
        <is>
          <t>A 14101-2022</t>
        </is>
      </c>
      <c r="B4108" s="1" t="n">
        <v>44651</v>
      </c>
      <c r="C4108" s="1" t="n">
        <v>45211</v>
      </c>
      <c r="D4108" t="inlineStr">
        <is>
          <t>ÖSTERGÖTLANDS LÄN</t>
        </is>
      </c>
      <c r="E4108" t="inlineStr">
        <is>
          <t>YDRE</t>
        </is>
      </c>
      <c r="G4108" t="n">
        <v>1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s="2" t="inlineStr"/>
    </row>
    <row r="4109" ht="15" customHeight="1">
      <c r="A4109" t="inlineStr">
        <is>
          <t>A 14184-2022</t>
        </is>
      </c>
      <c r="B4109" s="1" t="n">
        <v>44651</v>
      </c>
      <c r="C4109" s="1" t="n">
        <v>45211</v>
      </c>
      <c r="D4109" t="inlineStr">
        <is>
          <t>ÖSTERGÖTLANDS LÄN</t>
        </is>
      </c>
      <c r="E4109" t="inlineStr">
        <is>
          <t>YDRE</t>
        </is>
      </c>
      <c r="G4109" t="n">
        <v>0.5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s="2" t="inlineStr"/>
    </row>
    <row r="4110" ht="15" customHeight="1">
      <c r="A4110" t="inlineStr">
        <is>
          <t>A 14389-2022</t>
        </is>
      </c>
      <c r="B4110" s="1" t="n">
        <v>44652</v>
      </c>
      <c r="C4110" s="1" t="n">
        <v>45211</v>
      </c>
      <c r="D4110" t="inlineStr">
        <is>
          <t>ÖSTERGÖTLANDS LÄN</t>
        </is>
      </c>
      <c r="E4110" t="inlineStr">
        <is>
          <t>LINKÖPING</t>
        </is>
      </c>
      <c r="G4110" t="n">
        <v>0.5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s="2" t="inlineStr"/>
    </row>
    <row r="4111" ht="15" customHeight="1">
      <c r="A4111" t="inlineStr">
        <is>
          <t>A 14645-2022</t>
        </is>
      </c>
      <c r="B4111" s="1" t="n">
        <v>44655</v>
      </c>
      <c r="C4111" s="1" t="n">
        <v>45211</v>
      </c>
      <c r="D4111" t="inlineStr">
        <is>
          <t>ÖSTERGÖTLANDS LÄN</t>
        </is>
      </c>
      <c r="E4111" t="inlineStr">
        <is>
          <t>YDRE</t>
        </is>
      </c>
      <c r="G4111" t="n">
        <v>1.1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s="2" t="inlineStr"/>
    </row>
    <row r="4112" ht="15" customHeight="1">
      <c r="A4112" t="inlineStr">
        <is>
          <t>A 14520-2022</t>
        </is>
      </c>
      <c r="B4112" s="1" t="n">
        <v>44655</v>
      </c>
      <c r="C4112" s="1" t="n">
        <v>45211</v>
      </c>
      <c r="D4112" t="inlineStr">
        <is>
          <t>ÖSTERGÖTLANDS LÄN</t>
        </is>
      </c>
      <c r="E4112" t="inlineStr">
        <is>
          <t>MOTALA</t>
        </is>
      </c>
      <c r="G4112" t="n">
        <v>0.8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s="2" t="inlineStr"/>
    </row>
    <row r="4113" ht="15" customHeight="1">
      <c r="A4113" t="inlineStr">
        <is>
          <t>A 14518-2022</t>
        </is>
      </c>
      <c r="B4113" s="1" t="n">
        <v>44656</v>
      </c>
      <c r="C4113" s="1" t="n">
        <v>45211</v>
      </c>
      <c r="D4113" t="inlineStr">
        <is>
          <t>ÖSTERGÖTLANDS LÄN</t>
        </is>
      </c>
      <c r="E4113" t="inlineStr">
        <is>
          <t>VALDEMARSVIK</t>
        </is>
      </c>
      <c r="G4113" t="n">
        <v>1.2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s="2" t="inlineStr"/>
    </row>
    <row r="4114" ht="15" customHeight="1">
      <c r="A4114" t="inlineStr">
        <is>
          <t>A 14770-2022</t>
        </is>
      </c>
      <c r="B4114" s="1" t="n">
        <v>44656</v>
      </c>
      <c r="C4114" s="1" t="n">
        <v>45211</v>
      </c>
      <c r="D4114" t="inlineStr">
        <is>
          <t>ÖSTERGÖTLANDS LÄN</t>
        </is>
      </c>
      <c r="E4114" t="inlineStr">
        <is>
          <t>ÅTVIDABERG</t>
        </is>
      </c>
      <c r="G4114" t="n">
        <v>3.4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s="2" t="inlineStr"/>
    </row>
    <row r="4115" ht="15" customHeight="1">
      <c r="A4115" t="inlineStr">
        <is>
          <t>A 14866-2022</t>
        </is>
      </c>
      <c r="B4115" s="1" t="n">
        <v>44656</v>
      </c>
      <c r="C4115" s="1" t="n">
        <v>45211</v>
      </c>
      <c r="D4115" t="inlineStr">
        <is>
          <t>ÖSTERGÖTLANDS LÄN</t>
        </is>
      </c>
      <c r="E4115" t="inlineStr">
        <is>
          <t>FINSPÅNG</t>
        </is>
      </c>
      <c r="F4115" t="inlineStr">
        <is>
          <t>Holmen skog AB</t>
        </is>
      </c>
      <c r="G4115" t="n">
        <v>0.8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s="2" t="inlineStr"/>
    </row>
    <row r="4116" ht="15" customHeight="1">
      <c r="A4116" t="inlineStr">
        <is>
          <t>A 14774-2022</t>
        </is>
      </c>
      <c r="B4116" s="1" t="n">
        <v>44656</v>
      </c>
      <c r="C4116" s="1" t="n">
        <v>45211</v>
      </c>
      <c r="D4116" t="inlineStr">
        <is>
          <t>ÖSTERGÖTLANDS LÄN</t>
        </is>
      </c>
      <c r="E4116" t="inlineStr">
        <is>
          <t>ÅTVIDABERG</t>
        </is>
      </c>
      <c r="G4116" t="n">
        <v>4.3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s="2" t="inlineStr"/>
    </row>
    <row r="4117" ht="15" customHeight="1">
      <c r="A4117" t="inlineStr">
        <is>
          <t>A 15110-2022</t>
        </is>
      </c>
      <c r="B4117" s="1" t="n">
        <v>44657</v>
      </c>
      <c r="C4117" s="1" t="n">
        <v>45211</v>
      </c>
      <c r="D4117" t="inlineStr">
        <is>
          <t>ÖSTERGÖTLANDS LÄN</t>
        </is>
      </c>
      <c r="E4117" t="inlineStr">
        <is>
          <t>KINDA</t>
        </is>
      </c>
      <c r="G4117" t="n">
        <v>1.1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s="2" t="inlineStr"/>
    </row>
    <row r="4118" ht="15" customHeight="1">
      <c r="A4118" t="inlineStr">
        <is>
          <t>A 15115-2022</t>
        </is>
      </c>
      <c r="B4118" s="1" t="n">
        <v>44658</v>
      </c>
      <c r="C4118" s="1" t="n">
        <v>45211</v>
      </c>
      <c r="D4118" t="inlineStr">
        <is>
          <t>ÖSTERGÖTLANDS LÄN</t>
        </is>
      </c>
      <c r="E4118" t="inlineStr">
        <is>
          <t>VALDEMARSVIK</t>
        </is>
      </c>
      <c r="G4118" t="n">
        <v>2.2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s="2" t="inlineStr"/>
    </row>
    <row r="4119" ht="15" customHeight="1">
      <c r="A4119" t="inlineStr">
        <is>
          <t>A 15117-2022</t>
        </is>
      </c>
      <c r="B4119" s="1" t="n">
        <v>44658</v>
      </c>
      <c r="C4119" s="1" t="n">
        <v>45211</v>
      </c>
      <c r="D4119" t="inlineStr">
        <is>
          <t>ÖSTERGÖTLANDS LÄN</t>
        </is>
      </c>
      <c r="E4119" t="inlineStr">
        <is>
          <t>LINKÖPING</t>
        </is>
      </c>
      <c r="G4119" t="n">
        <v>3.2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s="2" t="inlineStr"/>
    </row>
    <row r="4120" ht="15" customHeight="1">
      <c r="A4120" t="inlineStr">
        <is>
          <t>A 15113-2022</t>
        </is>
      </c>
      <c r="B4120" s="1" t="n">
        <v>44658</v>
      </c>
      <c r="C4120" s="1" t="n">
        <v>45211</v>
      </c>
      <c r="D4120" t="inlineStr">
        <is>
          <t>ÖSTERGÖTLANDS LÄN</t>
        </is>
      </c>
      <c r="E4120" t="inlineStr">
        <is>
          <t>VALDEMARSVIK</t>
        </is>
      </c>
      <c r="G4120" t="n">
        <v>1.4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s="2" t="inlineStr"/>
    </row>
    <row r="4121" ht="15" customHeight="1">
      <c r="A4121" t="inlineStr">
        <is>
          <t>A 15121-2022</t>
        </is>
      </c>
      <c r="B4121" s="1" t="n">
        <v>44658</v>
      </c>
      <c r="C4121" s="1" t="n">
        <v>45211</v>
      </c>
      <c r="D4121" t="inlineStr">
        <is>
          <t>ÖSTERGÖTLANDS LÄN</t>
        </is>
      </c>
      <c r="E4121" t="inlineStr">
        <is>
          <t>LINKÖPING</t>
        </is>
      </c>
      <c r="G4121" t="n">
        <v>1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s="2" t="inlineStr"/>
    </row>
    <row r="4122" ht="15" customHeight="1">
      <c r="A4122" t="inlineStr">
        <is>
          <t>A 15264-2022</t>
        </is>
      </c>
      <c r="B4122" s="1" t="n">
        <v>44659</v>
      </c>
      <c r="C4122" s="1" t="n">
        <v>45211</v>
      </c>
      <c r="D4122" t="inlineStr">
        <is>
          <t>ÖSTERGÖTLANDS LÄN</t>
        </is>
      </c>
      <c r="E4122" t="inlineStr">
        <is>
          <t>ÅTVIDABERG</t>
        </is>
      </c>
      <c r="G4122" t="n">
        <v>1.1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s="2" t="inlineStr"/>
    </row>
    <row r="4123" ht="15" customHeight="1">
      <c r="A4123" t="inlineStr">
        <is>
          <t>A 15276-2022</t>
        </is>
      </c>
      <c r="B4123" s="1" t="n">
        <v>44659</v>
      </c>
      <c r="C4123" s="1" t="n">
        <v>45211</v>
      </c>
      <c r="D4123" t="inlineStr">
        <is>
          <t>ÖSTERGÖTLANDS LÄN</t>
        </is>
      </c>
      <c r="E4123" t="inlineStr">
        <is>
          <t>MJÖLBY</t>
        </is>
      </c>
      <c r="F4123" t="inlineStr">
        <is>
          <t>Kyrkan</t>
        </is>
      </c>
      <c r="G4123" t="n">
        <v>7.6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s="2" t="inlineStr"/>
    </row>
    <row r="4124" ht="15" customHeight="1">
      <c r="A4124" t="inlineStr">
        <is>
          <t>A 15284-2022</t>
        </is>
      </c>
      <c r="B4124" s="1" t="n">
        <v>44659</v>
      </c>
      <c r="C4124" s="1" t="n">
        <v>45211</v>
      </c>
      <c r="D4124" t="inlineStr">
        <is>
          <t>ÖSTERGÖTLANDS LÄN</t>
        </is>
      </c>
      <c r="E4124" t="inlineStr">
        <is>
          <t>MJÖLBY</t>
        </is>
      </c>
      <c r="F4124" t="inlineStr">
        <is>
          <t>Kyrkan</t>
        </is>
      </c>
      <c r="G4124" t="n">
        <v>0.9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s="2" t="inlineStr"/>
    </row>
    <row r="4125" ht="15" customHeight="1">
      <c r="A4125" t="inlineStr">
        <is>
          <t>A 15473-2022</t>
        </is>
      </c>
      <c r="B4125" s="1" t="n">
        <v>44662</v>
      </c>
      <c r="C4125" s="1" t="n">
        <v>45211</v>
      </c>
      <c r="D4125" t="inlineStr">
        <is>
          <t>ÖSTERGÖTLANDS LÄN</t>
        </is>
      </c>
      <c r="E4125" t="inlineStr">
        <is>
          <t>FINSPÅNG</t>
        </is>
      </c>
      <c r="F4125" t="inlineStr">
        <is>
          <t>Holmen skog AB</t>
        </is>
      </c>
      <c r="G4125" t="n">
        <v>0.8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s="2" t="inlineStr"/>
    </row>
    <row r="4126" ht="15" customHeight="1">
      <c r="A4126" t="inlineStr">
        <is>
          <t>A 15813-2022</t>
        </is>
      </c>
      <c r="B4126" s="1" t="n">
        <v>44664</v>
      </c>
      <c r="C4126" s="1" t="n">
        <v>45211</v>
      </c>
      <c r="D4126" t="inlineStr">
        <is>
          <t>ÖSTERGÖTLANDS LÄN</t>
        </is>
      </c>
      <c r="E4126" t="inlineStr">
        <is>
          <t>ÖDESHÖG</t>
        </is>
      </c>
      <c r="F4126" t="inlineStr">
        <is>
          <t>Sveaskog</t>
        </is>
      </c>
      <c r="G4126" t="n">
        <v>1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s="2" t="inlineStr"/>
    </row>
    <row r="4127" ht="15" customHeight="1">
      <c r="A4127" t="inlineStr">
        <is>
          <t>A 15824-2022</t>
        </is>
      </c>
      <c r="B4127" s="1" t="n">
        <v>44664</v>
      </c>
      <c r="C4127" s="1" t="n">
        <v>45211</v>
      </c>
      <c r="D4127" t="inlineStr">
        <is>
          <t>ÖSTERGÖTLANDS LÄN</t>
        </is>
      </c>
      <c r="E4127" t="inlineStr">
        <is>
          <t>FINSPÅNG</t>
        </is>
      </c>
      <c r="F4127" t="inlineStr">
        <is>
          <t>Holmen skog AB</t>
        </is>
      </c>
      <c r="G4127" t="n">
        <v>4.8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s="2" t="inlineStr"/>
    </row>
    <row r="4128" ht="15" customHeight="1">
      <c r="A4128" t="inlineStr">
        <is>
          <t>A 16055-2022</t>
        </is>
      </c>
      <c r="B4128" s="1" t="n">
        <v>44665</v>
      </c>
      <c r="C4128" s="1" t="n">
        <v>45211</v>
      </c>
      <c r="D4128" t="inlineStr">
        <is>
          <t>ÖSTERGÖTLANDS LÄN</t>
        </is>
      </c>
      <c r="E4128" t="inlineStr">
        <is>
          <t>NORRKÖPING</t>
        </is>
      </c>
      <c r="G4128" t="n">
        <v>3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s="2" t="inlineStr"/>
    </row>
    <row r="4129" ht="15" customHeight="1">
      <c r="A4129" t="inlineStr">
        <is>
          <t>A 16074-2022</t>
        </is>
      </c>
      <c r="B4129" s="1" t="n">
        <v>44665</v>
      </c>
      <c r="C4129" s="1" t="n">
        <v>45211</v>
      </c>
      <c r="D4129" t="inlineStr">
        <is>
          <t>ÖSTERGÖTLANDS LÄN</t>
        </is>
      </c>
      <c r="E4129" t="inlineStr">
        <is>
          <t>NORRKÖPING</t>
        </is>
      </c>
      <c r="G4129" t="n">
        <v>2.5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s="2" t="inlineStr"/>
    </row>
    <row r="4130" ht="15" customHeight="1">
      <c r="A4130" t="inlineStr">
        <is>
          <t>A 16110-2022</t>
        </is>
      </c>
      <c r="B4130" s="1" t="n">
        <v>44665</v>
      </c>
      <c r="C4130" s="1" t="n">
        <v>45211</v>
      </c>
      <c r="D4130" t="inlineStr">
        <is>
          <t>ÖSTERGÖTLANDS LÄN</t>
        </is>
      </c>
      <c r="E4130" t="inlineStr">
        <is>
          <t>ÅTVIDABERG</t>
        </is>
      </c>
      <c r="G4130" t="n">
        <v>1.1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s="2" t="inlineStr"/>
    </row>
    <row r="4131" ht="15" customHeight="1">
      <c r="A4131" t="inlineStr">
        <is>
          <t>A 16111-2022</t>
        </is>
      </c>
      <c r="B4131" s="1" t="n">
        <v>44665</v>
      </c>
      <c r="C4131" s="1" t="n">
        <v>45211</v>
      </c>
      <c r="D4131" t="inlineStr">
        <is>
          <t>ÖSTERGÖTLANDS LÄN</t>
        </is>
      </c>
      <c r="E4131" t="inlineStr">
        <is>
          <t>LINKÖPING</t>
        </is>
      </c>
      <c r="F4131" t="inlineStr">
        <is>
          <t>Övriga Aktiebolag</t>
        </is>
      </c>
      <c r="G4131" t="n">
        <v>2.9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s="2" t="inlineStr"/>
    </row>
    <row r="4132" ht="15" customHeight="1">
      <c r="A4132" t="inlineStr">
        <is>
          <t>A 16106-2022</t>
        </is>
      </c>
      <c r="B4132" s="1" t="n">
        <v>44665</v>
      </c>
      <c r="C4132" s="1" t="n">
        <v>45211</v>
      </c>
      <c r="D4132" t="inlineStr">
        <is>
          <t>ÖSTERGÖTLANDS LÄN</t>
        </is>
      </c>
      <c r="E4132" t="inlineStr">
        <is>
          <t>FINSPÅNG</t>
        </is>
      </c>
      <c r="F4132" t="inlineStr">
        <is>
          <t>Övriga Aktiebolag</t>
        </is>
      </c>
      <c r="G4132" t="n">
        <v>5.6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s="2" t="inlineStr"/>
    </row>
    <row r="4133" ht="15" customHeight="1">
      <c r="A4133" t="inlineStr">
        <is>
          <t>A 16289-2022</t>
        </is>
      </c>
      <c r="B4133" s="1" t="n">
        <v>44670</v>
      </c>
      <c r="C4133" s="1" t="n">
        <v>45211</v>
      </c>
      <c r="D4133" t="inlineStr">
        <is>
          <t>ÖSTERGÖTLANDS LÄN</t>
        </is>
      </c>
      <c r="E4133" t="inlineStr">
        <is>
          <t>YDRE</t>
        </is>
      </c>
      <c r="G4133" t="n">
        <v>3.2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s="2" t="inlineStr"/>
    </row>
    <row r="4134" ht="15" customHeight="1">
      <c r="A4134" t="inlineStr">
        <is>
          <t>A 16417-2022</t>
        </is>
      </c>
      <c r="B4134" s="1" t="n">
        <v>44671</v>
      </c>
      <c r="C4134" s="1" t="n">
        <v>45211</v>
      </c>
      <c r="D4134" t="inlineStr">
        <is>
          <t>ÖSTERGÖTLANDS LÄN</t>
        </is>
      </c>
      <c r="E4134" t="inlineStr">
        <is>
          <t>NORRKÖPING</t>
        </is>
      </c>
      <c r="G4134" t="n">
        <v>1.3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s="2" t="inlineStr"/>
    </row>
    <row r="4135" ht="15" customHeight="1">
      <c r="A4135" t="inlineStr">
        <is>
          <t>A 16635-2022</t>
        </is>
      </c>
      <c r="B4135" s="1" t="n">
        <v>44672</v>
      </c>
      <c r="C4135" s="1" t="n">
        <v>45211</v>
      </c>
      <c r="D4135" t="inlineStr">
        <is>
          <t>ÖSTERGÖTLANDS LÄN</t>
        </is>
      </c>
      <c r="E4135" t="inlineStr">
        <is>
          <t>BOXHOLM</t>
        </is>
      </c>
      <c r="G4135" t="n">
        <v>2.9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s="2" t="inlineStr"/>
    </row>
    <row r="4136" ht="15" customHeight="1">
      <c r="A4136" t="inlineStr">
        <is>
          <t>A 16555-2022</t>
        </is>
      </c>
      <c r="B4136" s="1" t="n">
        <v>44672</v>
      </c>
      <c r="C4136" s="1" t="n">
        <v>45211</v>
      </c>
      <c r="D4136" t="inlineStr">
        <is>
          <t>ÖSTERGÖTLANDS LÄN</t>
        </is>
      </c>
      <c r="E4136" t="inlineStr">
        <is>
          <t>SÖDERKÖPING</t>
        </is>
      </c>
      <c r="G4136" t="n">
        <v>1.7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s="2" t="inlineStr"/>
    </row>
    <row r="4137" ht="15" customHeight="1">
      <c r="A4137" t="inlineStr">
        <is>
          <t>A 16829-2022</t>
        </is>
      </c>
      <c r="B4137" s="1" t="n">
        <v>44673</v>
      </c>
      <c r="C4137" s="1" t="n">
        <v>45211</v>
      </c>
      <c r="D4137" t="inlineStr">
        <is>
          <t>ÖSTERGÖTLANDS LÄN</t>
        </is>
      </c>
      <c r="E4137" t="inlineStr">
        <is>
          <t>NORRKÖPING</t>
        </is>
      </c>
      <c r="F4137" t="inlineStr">
        <is>
          <t>Allmännings- och besparingsskogar</t>
        </is>
      </c>
      <c r="G4137" t="n">
        <v>0.9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s="2" t="inlineStr"/>
    </row>
    <row r="4138" ht="15" customHeight="1">
      <c r="A4138" t="inlineStr">
        <is>
          <t>A 16869-2022</t>
        </is>
      </c>
      <c r="B4138" s="1" t="n">
        <v>44675</v>
      </c>
      <c r="C4138" s="1" t="n">
        <v>45211</v>
      </c>
      <c r="D4138" t="inlineStr">
        <is>
          <t>ÖSTERGÖTLANDS LÄN</t>
        </is>
      </c>
      <c r="E4138" t="inlineStr">
        <is>
          <t>FINSPÅNG</t>
        </is>
      </c>
      <c r="G4138" t="n">
        <v>1.9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s="2" t="inlineStr"/>
    </row>
    <row r="4139" ht="15" customHeight="1">
      <c r="A4139" t="inlineStr">
        <is>
          <t>A 16872-2022</t>
        </is>
      </c>
      <c r="B4139" s="1" t="n">
        <v>44675</v>
      </c>
      <c r="C4139" s="1" t="n">
        <v>45211</v>
      </c>
      <c r="D4139" t="inlineStr">
        <is>
          <t>ÖSTERGÖTLANDS LÄN</t>
        </is>
      </c>
      <c r="E4139" t="inlineStr">
        <is>
          <t>FINSPÅNG</t>
        </is>
      </c>
      <c r="G4139" t="n">
        <v>0.6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s="2" t="inlineStr"/>
    </row>
    <row r="4140" ht="15" customHeight="1">
      <c r="A4140" t="inlineStr">
        <is>
          <t>A 16868-2022</t>
        </is>
      </c>
      <c r="B4140" s="1" t="n">
        <v>44675</v>
      </c>
      <c r="C4140" s="1" t="n">
        <v>45211</v>
      </c>
      <c r="D4140" t="inlineStr">
        <is>
          <t>ÖSTERGÖTLANDS LÄN</t>
        </is>
      </c>
      <c r="E4140" t="inlineStr">
        <is>
          <t>FINSPÅNG</t>
        </is>
      </c>
      <c r="G4140" t="n">
        <v>0.8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s="2" t="inlineStr"/>
    </row>
    <row r="4141" ht="15" customHeight="1">
      <c r="A4141" t="inlineStr">
        <is>
          <t>A 16901-2022</t>
        </is>
      </c>
      <c r="B4141" s="1" t="n">
        <v>44676</v>
      </c>
      <c r="C4141" s="1" t="n">
        <v>45211</v>
      </c>
      <c r="D4141" t="inlineStr">
        <is>
          <t>ÖSTERGÖTLANDS LÄN</t>
        </is>
      </c>
      <c r="E4141" t="inlineStr">
        <is>
          <t>FINSPÅNG</t>
        </is>
      </c>
      <c r="F4141" t="inlineStr">
        <is>
          <t>Sveaskog</t>
        </is>
      </c>
      <c r="G4141" t="n">
        <v>1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s="2" t="inlineStr"/>
    </row>
    <row r="4142" ht="15" customHeight="1">
      <c r="A4142" t="inlineStr">
        <is>
          <t>A 17008-2022</t>
        </is>
      </c>
      <c r="B4142" s="1" t="n">
        <v>44676</v>
      </c>
      <c r="C4142" s="1" t="n">
        <v>45211</v>
      </c>
      <c r="D4142" t="inlineStr">
        <is>
          <t>ÖSTERGÖTLANDS LÄN</t>
        </is>
      </c>
      <c r="E4142" t="inlineStr">
        <is>
          <t>MOTALA</t>
        </is>
      </c>
      <c r="G4142" t="n">
        <v>1.2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s="2" t="inlineStr"/>
    </row>
    <row r="4143" ht="15" customHeight="1">
      <c r="A4143" t="inlineStr">
        <is>
          <t>A 17071-2022</t>
        </is>
      </c>
      <c r="B4143" s="1" t="n">
        <v>44677</v>
      </c>
      <c r="C4143" s="1" t="n">
        <v>45211</v>
      </c>
      <c r="D4143" t="inlineStr">
        <is>
          <t>ÖSTERGÖTLANDS LÄN</t>
        </is>
      </c>
      <c r="E4143" t="inlineStr">
        <is>
          <t>MOTALA</t>
        </is>
      </c>
      <c r="G4143" t="n">
        <v>1.2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s="2" t="inlineStr"/>
    </row>
    <row r="4144" ht="15" customHeight="1">
      <c r="A4144" t="inlineStr">
        <is>
          <t>A 17138-2022</t>
        </is>
      </c>
      <c r="B4144" s="1" t="n">
        <v>44677</v>
      </c>
      <c r="C4144" s="1" t="n">
        <v>45211</v>
      </c>
      <c r="D4144" t="inlineStr">
        <is>
          <t>ÖSTERGÖTLANDS LÄN</t>
        </is>
      </c>
      <c r="E4144" t="inlineStr">
        <is>
          <t>NORRKÖPING</t>
        </is>
      </c>
      <c r="G4144" t="n">
        <v>0.9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s="2" t="inlineStr"/>
    </row>
    <row r="4145" ht="15" customHeight="1">
      <c r="A4145" t="inlineStr">
        <is>
          <t>A 17104-2022</t>
        </is>
      </c>
      <c r="B4145" s="1" t="n">
        <v>44677</v>
      </c>
      <c r="C4145" s="1" t="n">
        <v>45211</v>
      </c>
      <c r="D4145" t="inlineStr">
        <is>
          <t>ÖSTERGÖTLANDS LÄN</t>
        </is>
      </c>
      <c r="E4145" t="inlineStr">
        <is>
          <t>FINSPÅNG</t>
        </is>
      </c>
      <c r="G4145" t="n">
        <v>4.2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s="2" t="inlineStr"/>
    </row>
    <row r="4146" ht="15" customHeight="1">
      <c r="A4146" t="inlineStr">
        <is>
          <t>A 17174-2022</t>
        </is>
      </c>
      <c r="B4146" s="1" t="n">
        <v>44677</v>
      </c>
      <c r="C4146" s="1" t="n">
        <v>45211</v>
      </c>
      <c r="D4146" t="inlineStr">
        <is>
          <t>ÖSTERGÖTLANDS LÄN</t>
        </is>
      </c>
      <c r="E4146" t="inlineStr">
        <is>
          <t>KINDA</t>
        </is>
      </c>
      <c r="G4146" t="n">
        <v>1.8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s="2" t="inlineStr"/>
    </row>
    <row r="4147" ht="15" customHeight="1">
      <c r="A4147" t="inlineStr">
        <is>
          <t>A 17172-2022</t>
        </is>
      </c>
      <c r="B4147" s="1" t="n">
        <v>44677</v>
      </c>
      <c r="C4147" s="1" t="n">
        <v>45211</v>
      </c>
      <c r="D4147" t="inlineStr">
        <is>
          <t>ÖSTERGÖTLANDS LÄN</t>
        </is>
      </c>
      <c r="E4147" t="inlineStr">
        <is>
          <t>KINDA</t>
        </is>
      </c>
      <c r="G4147" t="n">
        <v>2.9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s="2" t="inlineStr"/>
    </row>
    <row r="4148" ht="15" customHeight="1">
      <c r="A4148" t="inlineStr">
        <is>
          <t>A 17275-2022</t>
        </is>
      </c>
      <c r="B4148" s="1" t="n">
        <v>44678</v>
      </c>
      <c r="C4148" s="1" t="n">
        <v>45211</v>
      </c>
      <c r="D4148" t="inlineStr">
        <is>
          <t>ÖSTERGÖTLANDS LÄN</t>
        </is>
      </c>
      <c r="E4148" t="inlineStr">
        <is>
          <t>SÖDERKÖPING</t>
        </is>
      </c>
      <c r="G4148" t="n">
        <v>3.6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s="2" t="inlineStr"/>
    </row>
    <row r="4149" ht="15" customHeight="1">
      <c r="A4149" t="inlineStr">
        <is>
          <t>A 17321-2022</t>
        </is>
      </c>
      <c r="B4149" s="1" t="n">
        <v>44678</v>
      </c>
      <c r="C4149" s="1" t="n">
        <v>45211</v>
      </c>
      <c r="D4149" t="inlineStr">
        <is>
          <t>ÖSTERGÖTLANDS LÄN</t>
        </is>
      </c>
      <c r="E4149" t="inlineStr">
        <is>
          <t>FINSPÅNG</t>
        </is>
      </c>
      <c r="F4149" t="inlineStr">
        <is>
          <t>Holmen skog AB</t>
        </is>
      </c>
      <c r="G4149" t="n">
        <v>0.9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s="2" t="inlineStr"/>
    </row>
    <row r="4150" ht="15" customHeight="1">
      <c r="A4150" t="inlineStr">
        <is>
          <t>A 17413-2022</t>
        </is>
      </c>
      <c r="B4150" s="1" t="n">
        <v>44678</v>
      </c>
      <c r="C4150" s="1" t="n">
        <v>45211</v>
      </c>
      <c r="D4150" t="inlineStr">
        <is>
          <t>ÖSTERGÖTLANDS LÄN</t>
        </is>
      </c>
      <c r="E4150" t="inlineStr">
        <is>
          <t>FINSPÅNG</t>
        </is>
      </c>
      <c r="G4150" t="n">
        <v>3.2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s="2" t="inlineStr"/>
    </row>
    <row r="4151" ht="15" customHeight="1">
      <c r="A4151" t="inlineStr">
        <is>
          <t>A 17497-2022</t>
        </is>
      </c>
      <c r="B4151" s="1" t="n">
        <v>44679</v>
      </c>
      <c r="C4151" s="1" t="n">
        <v>45211</v>
      </c>
      <c r="D4151" t="inlineStr">
        <is>
          <t>ÖSTERGÖTLANDS LÄN</t>
        </is>
      </c>
      <c r="E4151" t="inlineStr">
        <is>
          <t>LINKÖPING</t>
        </is>
      </c>
      <c r="F4151" t="inlineStr">
        <is>
          <t>Kommuner</t>
        </is>
      </c>
      <c r="G4151" t="n">
        <v>1.4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s="2" t="inlineStr"/>
    </row>
    <row r="4152" ht="15" customHeight="1">
      <c r="A4152" t="inlineStr">
        <is>
          <t>A 17503-2022</t>
        </is>
      </c>
      <c r="B4152" s="1" t="n">
        <v>44679</v>
      </c>
      <c r="C4152" s="1" t="n">
        <v>45211</v>
      </c>
      <c r="D4152" t="inlineStr">
        <is>
          <t>ÖSTERGÖTLANDS LÄN</t>
        </is>
      </c>
      <c r="E4152" t="inlineStr">
        <is>
          <t>NORRKÖPING</t>
        </is>
      </c>
      <c r="F4152" t="inlineStr">
        <is>
          <t>Allmännings- och besparingsskogar</t>
        </is>
      </c>
      <c r="G4152" t="n">
        <v>6.3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s="2" t="inlineStr"/>
    </row>
    <row r="4153" ht="15" customHeight="1">
      <c r="A4153" t="inlineStr">
        <is>
          <t>A 17500-2022</t>
        </is>
      </c>
      <c r="B4153" s="1" t="n">
        <v>44679</v>
      </c>
      <c r="C4153" s="1" t="n">
        <v>45211</v>
      </c>
      <c r="D4153" t="inlineStr">
        <is>
          <t>ÖSTERGÖTLANDS LÄN</t>
        </is>
      </c>
      <c r="E4153" t="inlineStr">
        <is>
          <t>LINKÖPING</t>
        </is>
      </c>
      <c r="F4153" t="inlineStr">
        <is>
          <t>Kommuner</t>
        </is>
      </c>
      <c r="G4153" t="n">
        <v>1.8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s="2" t="inlineStr"/>
    </row>
    <row r="4154" ht="15" customHeight="1">
      <c r="A4154" t="inlineStr">
        <is>
          <t>A 17557-2022</t>
        </is>
      </c>
      <c r="B4154" s="1" t="n">
        <v>44679</v>
      </c>
      <c r="C4154" s="1" t="n">
        <v>45211</v>
      </c>
      <c r="D4154" t="inlineStr">
        <is>
          <t>ÖSTERGÖTLANDS LÄN</t>
        </is>
      </c>
      <c r="E4154" t="inlineStr">
        <is>
          <t>FINSPÅNG</t>
        </is>
      </c>
      <c r="F4154" t="inlineStr">
        <is>
          <t>Övriga Aktiebolag</t>
        </is>
      </c>
      <c r="G4154" t="n">
        <v>0.8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s="2" t="inlineStr"/>
    </row>
    <row r="4155" ht="15" customHeight="1">
      <c r="A4155" t="inlineStr">
        <is>
          <t>A 17708-2022</t>
        </is>
      </c>
      <c r="B4155" s="1" t="n">
        <v>44680</v>
      </c>
      <c r="C4155" s="1" t="n">
        <v>45211</v>
      </c>
      <c r="D4155" t="inlineStr">
        <is>
          <t>ÖSTERGÖTLANDS LÄN</t>
        </is>
      </c>
      <c r="E4155" t="inlineStr">
        <is>
          <t>FINSPÅNG</t>
        </is>
      </c>
      <c r="F4155" t="inlineStr">
        <is>
          <t>Kyrkan</t>
        </is>
      </c>
      <c r="G4155" t="n">
        <v>2.6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s="2" t="inlineStr"/>
    </row>
    <row r="4156" ht="15" customHeight="1">
      <c r="A4156" t="inlineStr">
        <is>
          <t>A 18251-2022</t>
        </is>
      </c>
      <c r="B4156" s="1" t="n">
        <v>44685</v>
      </c>
      <c r="C4156" s="1" t="n">
        <v>45211</v>
      </c>
      <c r="D4156" t="inlineStr">
        <is>
          <t>ÖSTERGÖTLANDS LÄN</t>
        </is>
      </c>
      <c r="E4156" t="inlineStr">
        <is>
          <t>SÖDERKÖPING</t>
        </is>
      </c>
      <c r="G4156" t="n">
        <v>0.4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s="2" t="inlineStr"/>
    </row>
    <row r="4157" ht="15" customHeight="1">
      <c r="A4157" t="inlineStr">
        <is>
          <t>A 18454-2022</t>
        </is>
      </c>
      <c r="B4157" s="1" t="n">
        <v>44686</v>
      </c>
      <c r="C4157" s="1" t="n">
        <v>45211</v>
      </c>
      <c r="D4157" t="inlineStr">
        <is>
          <t>ÖSTERGÖTLANDS LÄN</t>
        </is>
      </c>
      <c r="E4157" t="inlineStr">
        <is>
          <t>NORRKÖPING</t>
        </is>
      </c>
      <c r="G4157" t="n">
        <v>3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s="2" t="inlineStr"/>
    </row>
    <row r="4158" ht="15" customHeight="1">
      <c r="A4158" t="inlineStr">
        <is>
          <t>A 18633-2022</t>
        </is>
      </c>
      <c r="B4158" s="1" t="n">
        <v>44687</v>
      </c>
      <c r="C4158" s="1" t="n">
        <v>45211</v>
      </c>
      <c r="D4158" t="inlineStr">
        <is>
          <t>ÖSTERGÖTLANDS LÄN</t>
        </is>
      </c>
      <c r="E4158" t="inlineStr">
        <is>
          <t>VADSTENA</t>
        </is>
      </c>
      <c r="G4158" t="n">
        <v>1.6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s="2" t="inlineStr"/>
    </row>
    <row r="4159" ht="15" customHeight="1">
      <c r="A4159" t="inlineStr">
        <is>
          <t>A 18597-2022</t>
        </is>
      </c>
      <c r="B4159" s="1" t="n">
        <v>44687</v>
      </c>
      <c r="C4159" s="1" t="n">
        <v>45211</v>
      </c>
      <c r="D4159" t="inlineStr">
        <is>
          <t>ÖSTERGÖTLANDS LÄN</t>
        </is>
      </c>
      <c r="E4159" t="inlineStr">
        <is>
          <t>KINDA</t>
        </is>
      </c>
      <c r="G4159" t="n">
        <v>1.1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s="2" t="inlineStr"/>
    </row>
    <row r="4160" ht="15" customHeight="1">
      <c r="A4160" t="inlineStr">
        <is>
          <t>A 18684-2022</t>
        </is>
      </c>
      <c r="B4160" s="1" t="n">
        <v>44687</v>
      </c>
      <c r="C4160" s="1" t="n">
        <v>45211</v>
      </c>
      <c r="D4160" t="inlineStr">
        <is>
          <t>ÖSTERGÖTLANDS LÄN</t>
        </is>
      </c>
      <c r="E4160" t="inlineStr">
        <is>
          <t>VALDEMARSVIK</t>
        </is>
      </c>
      <c r="G4160" t="n">
        <v>0.7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s="2" t="inlineStr"/>
    </row>
    <row r="4161" ht="15" customHeight="1">
      <c r="A4161" t="inlineStr">
        <is>
          <t>A 18935-2022</t>
        </is>
      </c>
      <c r="B4161" s="1" t="n">
        <v>44690</v>
      </c>
      <c r="C4161" s="1" t="n">
        <v>45211</v>
      </c>
      <c r="D4161" t="inlineStr">
        <is>
          <t>ÖSTERGÖTLANDS LÄN</t>
        </is>
      </c>
      <c r="E4161" t="inlineStr">
        <is>
          <t>FINSPÅNG</t>
        </is>
      </c>
      <c r="F4161" t="inlineStr">
        <is>
          <t>Holmen skog AB</t>
        </is>
      </c>
      <c r="G4161" t="n">
        <v>1.5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s="2" t="inlineStr"/>
    </row>
    <row r="4162" ht="15" customHeight="1">
      <c r="A4162" t="inlineStr">
        <is>
          <t>A 18961-2022</t>
        </is>
      </c>
      <c r="B4162" s="1" t="n">
        <v>44690</v>
      </c>
      <c r="C4162" s="1" t="n">
        <v>45211</v>
      </c>
      <c r="D4162" t="inlineStr">
        <is>
          <t>ÖSTERGÖTLANDS LÄN</t>
        </is>
      </c>
      <c r="E4162" t="inlineStr">
        <is>
          <t>VALDEMARSVIK</t>
        </is>
      </c>
      <c r="G4162" t="n">
        <v>2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s="2" t="inlineStr"/>
    </row>
    <row r="4163" ht="15" customHeight="1">
      <c r="A4163" t="inlineStr">
        <is>
          <t>A 18891-2022</t>
        </is>
      </c>
      <c r="B4163" s="1" t="n">
        <v>44690</v>
      </c>
      <c r="C4163" s="1" t="n">
        <v>45211</v>
      </c>
      <c r="D4163" t="inlineStr">
        <is>
          <t>ÖSTERGÖTLANDS LÄN</t>
        </is>
      </c>
      <c r="E4163" t="inlineStr">
        <is>
          <t>LINKÖPING</t>
        </is>
      </c>
      <c r="G4163" t="n">
        <v>1.2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s="2" t="inlineStr"/>
    </row>
    <row r="4164" ht="15" customHeight="1">
      <c r="A4164" t="inlineStr">
        <is>
          <t>A 19356-2022</t>
        </is>
      </c>
      <c r="B4164" s="1" t="n">
        <v>44692</v>
      </c>
      <c r="C4164" s="1" t="n">
        <v>45211</v>
      </c>
      <c r="D4164" t="inlineStr">
        <is>
          <t>ÖSTERGÖTLANDS LÄN</t>
        </is>
      </c>
      <c r="E4164" t="inlineStr">
        <is>
          <t>BOXHOLM</t>
        </is>
      </c>
      <c r="G4164" t="n">
        <v>2.5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s="2" t="inlineStr"/>
    </row>
    <row r="4165" ht="15" customHeight="1">
      <c r="A4165" t="inlineStr">
        <is>
          <t>A 19229-2022</t>
        </is>
      </c>
      <c r="B4165" s="1" t="n">
        <v>44692</v>
      </c>
      <c r="C4165" s="1" t="n">
        <v>45211</v>
      </c>
      <c r="D4165" t="inlineStr">
        <is>
          <t>ÖSTERGÖTLANDS LÄN</t>
        </is>
      </c>
      <c r="E4165" t="inlineStr">
        <is>
          <t>MOTALA</t>
        </is>
      </c>
      <c r="F4165" t="inlineStr">
        <is>
          <t>Övriga statliga verk och myndigheter</t>
        </is>
      </c>
      <c r="G4165" t="n">
        <v>1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s="2" t="inlineStr"/>
    </row>
    <row r="4166" ht="15" customHeight="1">
      <c r="A4166" t="inlineStr">
        <is>
          <t>A 19338-2022</t>
        </is>
      </c>
      <c r="B4166" s="1" t="n">
        <v>44692</v>
      </c>
      <c r="C4166" s="1" t="n">
        <v>45211</v>
      </c>
      <c r="D4166" t="inlineStr">
        <is>
          <t>ÖSTERGÖTLANDS LÄN</t>
        </is>
      </c>
      <c r="E4166" t="inlineStr">
        <is>
          <t>SÖDERKÖPING</t>
        </is>
      </c>
      <c r="F4166" t="inlineStr">
        <is>
          <t>Kommuner</t>
        </is>
      </c>
      <c r="G4166" t="n">
        <v>2.8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s="2" t="inlineStr"/>
    </row>
    <row r="4167" ht="15" customHeight="1">
      <c r="A4167" t="inlineStr">
        <is>
          <t>A 19610-2022</t>
        </is>
      </c>
      <c r="B4167" s="1" t="n">
        <v>44693</v>
      </c>
      <c r="C4167" s="1" t="n">
        <v>45211</v>
      </c>
      <c r="D4167" t="inlineStr">
        <is>
          <t>ÖSTERGÖTLANDS LÄN</t>
        </is>
      </c>
      <c r="E4167" t="inlineStr">
        <is>
          <t>YDRE</t>
        </is>
      </c>
      <c r="G4167" t="n">
        <v>2.4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s="2" t="inlineStr"/>
    </row>
    <row r="4168" ht="15" customHeight="1">
      <c r="A4168" t="inlineStr">
        <is>
          <t>A 19566-2022</t>
        </is>
      </c>
      <c r="B4168" s="1" t="n">
        <v>44693</v>
      </c>
      <c r="C4168" s="1" t="n">
        <v>45211</v>
      </c>
      <c r="D4168" t="inlineStr">
        <is>
          <t>ÖSTERGÖTLANDS LÄN</t>
        </is>
      </c>
      <c r="E4168" t="inlineStr">
        <is>
          <t>BOXHOLM</t>
        </is>
      </c>
      <c r="G4168" t="n">
        <v>2.2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s="2" t="inlineStr"/>
    </row>
    <row r="4169" ht="15" customHeight="1">
      <c r="A4169" t="inlineStr">
        <is>
          <t>A 19839-2022</t>
        </is>
      </c>
      <c r="B4169" s="1" t="n">
        <v>44696</v>
      </c>
      <c r="C4169" s="1" t="n">
        <v>45211</v>
      </c>
      <c r="D4169" t="inlineStr">
        <is>
          <t>ÖSTERGÖTLANDS LÄN</t>
        </is>
      </c>
      <c r="E4169" t="inlineStr">
        <is>
          <t>NORRKÖPING</t>
        </is>
      </c>
      <c r="G4169" t="n">
        <v>3.7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s="2" t="inlineStr"/>
    </row>
    <row r="4170" ht="15" customHeight="1">
      <c r="A4170" t="inlineStr">
        <is>
          <t>A 20027-2022</t>
        </is>
      </c>
      <c r="B4170" s="1" t="n">
        <v>44697</v>
      </c>
      <c r="C4170" s="1" t="n">
        <v>45211</v>
      </c>
      <c r="D4170" t="inlineStr">
        <is>
          <t>ÖSTERGÖTLANDS LÄN</t>
        </is>
      </c>
      <c r="E4170" t="inlineStr">
        <is>
          <t>LINKÖPING</t>
        </is>
      </c>
      <c r="G4170" t="n">
        <v>12.3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s="2" t="inlineStr"/>
    </row>
    <row r="4171" ht="15" customHeight="1">
      <c r="A4171" t="inlineStr">
        <is>
          <t>A 19922-2022</t>
        </is>
      </c>
      <c r="B4171" s="1" t="n">
        <v>44697</v>
      </c>
      <c r="C4171" s="1" t="n">
        <v>45211</v>
      </c>
      <c r="D4171" t="inlineStr">
        <is>
          <t>ÖSTERGÖTLANDS LÄN</t>
        </is>
      </c>
      <c r="E4171" t="inlineStr">
        <is>
          <t>FINSPÅNG</t>
        </is>
      </c>
      <c r="F4171" t="inlineStr">
        <is>
          <t>Sveaskog</t>
        </is>
      </c>
      <c r="G4171" t="n">
        <v>2.1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s="2" t="inlineStr"/>
    </row>
    <row r="4172" ht="15" customHeight="1">
      <c r="A4172" t="inlineStr">
        <is>
          <t>A 19897-2022</t>
        </is>
      </c>
      <c r="B4172" s="1" t="n">
        <v>44697</v>
      </c>
      <c r="C4172" s="1" t="n">
        <v>45211</v>
      </c>
      <c r="D4172" t="inlineStr">
        <is>
          <t>ÖSTERGÖTLANDS LÄN</t>
        </is>
      </c>
      <c r="E4172" t="inlineStr">
        <is>
          <t>KINDA</t>
        </is>
      </c>
      <c r="G4172" t="n">
        <v>0.9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s="2" t="inlineStr"/>
    </row>
    <row r="4173" ht="15" customHeight="1">
      <c r="A4173" t="inlineStr">
        <is>
          <t>A 20232-2022</t>
        </is>
      </c>
      <c r="B4173" s="1" t="n">
        <v>44698</v>
      </c>
      <c r="C4173" s="1" t="n">
        <v>45211</v>
      </c>
      <c r="D4173" t="inlineStr">
        <is>
          <t>ÖSTERGÖTLANDS LÄN</t>
        </is>
      </c>
      <c r="E4173" t="inlineStr">
        <is>
          <t>ÖDESHÖG</t>
        </is>
      </c>
      <c r="F4173" t="inlineStr">
        <is>
          <t>Allmännings- och besparingsskogar</t>
        </is>
      </c>
      <c r="G4173" t="n">
        <v>2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s="2" t="inlineStr"/>
    </row>
    <row r="4174" ht="15" customHeight="1">
      <c r="A4174" t="inlineStr">
        <is>
          <t>A 20262-2022</t>
        </is>
      </c>
      <c r="B4174" s="1" t="n">
        <v>44698</v>
      </c>
      <c r="C4174" s="1" t="n">
        <v>45211</v>
      </c>
      <c r="D4174" t="inlineStr">
        <is>
          <t>ÖSTERGÖTLANDS LÄN</t>
        </is>
      </c>
      <c r="E4174" t="inlineStr">
        <is>
          <t>ÖDESHÖG</t>
        </is>
      </c>
      <c r="F4174" t="inlineStr">
        <is>
          <t>Allmännings- och besparingsskogar</t>
        </is>
      </c>
      <c r="G4174" t="n">
        <v>10.3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s="2" t="inlineStr"/>
    </row>
    <row r="4175" ht="15" customHeight="1">
      <c r="A4175" t="inlineStr">
        <is>
          <t>A 20158-2022</t>
        </is>
      </c>
      <c r="B4175" s="1" t="n">
        <v>44698</v>
      </c>
      <c r="C4175" s="1" t="n">
        <v>45211</v>
      </c>
      <c r="D4175" t="inlineStr">
        <is>
          <t>ÖSTERGÖTLANDS LÄN</t>
        </is>
      </c>
      <c r="E4175" t="inlineStr">
        <is>
          <t>YDRE</t>
        </is>
      </c>
      <c r="G4175" t="n">
        <v>0.9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s="2" t="inlineStr"/>
    </row>
    <row r="4176" ht="15" customHeight="1">
      <c r="A4176" t="inlineStr">
        <is>
          <t>A 20385-2022</t>
        </is>
      </c>
      <c r="B4176" s="1" t="n">
        <v>44699</v>
      </c>
      <c r="C4176" s="1" t="n">
        <v>45211</v>
      </c>
      <c r="D4176" t="inlineStr">
        <is>
          <t>ÖSTERGÖTLANDS LÄN</t>
        </is>
      </c>
      <c r="E4176" t="inlineStr">
        <is>
          <t>NORRKÖPING</t>
        </is>
      </c>
      <c r="G4176" t="n">
        <v>1.9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s="2" t="inlineStr"/>
    </row>
    <row r="4177" ht="15" customHeight="1">
      <c r="A4177" t="inlineStr">
        <is>
          <t>A 20447-2022</t>
        </is>
      </c>
      <c r="B4177" s="1" t="n">
        <v>44699</v>
      </c>
      <c r="C4177" s="1" t="n">
        <v>45211</v>
      </c>
      <c r="D4177" t="inlineStr">
        <is>
          <t>ÖSTERGÖTLANDS LÄN</t>
        </is>
      </c>
      <c r="E4177" t="inlineStr">
        <is>
          <t>KINDA</t>
        </is>
      </c>
      <c r="G4177" t="n">
        <v>1.7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s="2" t="inlineStr"/>
    </row>
    <row r="4178" ht="15" customHeight="1">
      <c r="A4178" t="inlineStr">
        <is>
          <t>A 20829-2022</t>
        </is>
      </c>
      <c r="B4178" s="1" t="n">
        <v>44701</v>
      </c>
      <c r="C4178" s="1" t="n">
        <v>45211</v>
      </c>
      <c r="D4178" t="inlineStr">
        <is>
          <t>ÖSTERGÖTLANDS LÄN</t>
        </is>
      </c>
      <c r="E4178" t="inlineStr">
        <is>
          <t>KINDA</t>
        </is>
      </c>
      <c r="G4178" t="n">
        <v>2.5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s="2" t="inlineStr"/>
    </row>
    <row r="4179" ht="15" customHeight="1">
      <c r="A4179" t="inlineStr">
        <is>
          <t>A 22043-2022</t>
        </is>
      </c>
      <c r="B4179" s="1" t="n">
        <v>44711</v>
      </c>
      <c r="C4179" s="1" t="n">
        <v>45211</v>
      </c>
      <c r="D4179" t="inlineStr">
        <is>
          <t>ÖSTERGÖTLANDS LÄN</t>
        </is>
      </c>
      <c r="E4179" t="inlineStr">
        <is>
          <t>BOXHOLM</t>
        </is>
      </c>
      <c r="F4179" t="inlineStr">
        <is>
          <t>Övriga Aktiebolag</t>
        </is>
      </c>
      <c r="G4179" t="n">
        <v>1.3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s="2" t="inlineStr"/>
    </row>
    <row r="4180" ht="15" customHeight="1">
      <c r="A4180" t="inlineStr">
        <is>
          <t>A 22294-2022</t>
        </is>
      </c>
      <c r="B4180" s="1" t="n">
        <v>44712</v>
      </c>
      <c r="C4180" s="1" t="n">
        <v>45211</v>
      </c>
      <c r="D4180" t="inlineStr">
        <is>
          <t>ÖSTERGÖTLANDS LÄN</t>
        </is>
      </c>
      <c r="E4180" t="inlineStr">
        <is>
          <t>FINSPÅNG</t>
        </is>
      </c>
      <c r="F4180" t="inlineStr">
        <is>
          <t>Holmen skog AB</t>
        </is>
      </c>
      <c r="G4180" t="n">
        <v>0.5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s="2" t="inlineStr"/>
    </row>
    <row r="4181" ht="15" customHeight="1">
      <c r="A4181" t="inlineStr">
        <is>
          <t>A 22311-2022</t>
        </is>
      </c>
      <c r="B4181" s="1" t="n">
        <v>44712</v>
      </c>
      <c r="C4181" s="1" t="n">
        <v>45211</v>
      </c>
      <c r="D4181" t="inlineStr">
        <is>
          <t>ÖSTERGÖTLANDS LÄN</t>
        </is>
      </c>
      <c r="E4181" t="inlineStr">
        <is>
          <t>VALDEMARSVIK</t>
        </is>
      </c>
      <c r="G4181" t="n">
        <v>0.3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s="2" t="inlineStr"/>
    </row>
    <row r="4182" ht="15" customHeight="1">
      <c r="A4182" t="inlineStr">
        <is>
          <t>A 22412-2022</t>
        </is>
      </c>
      <c r="B4182" s="1" t="n">
        <v>44713</v>
      </c>
      <c r="C4182" s="1" t="n">
        <v>45211</v>
      </c>
      <c r="D4182" t="inlineStr">
        <is>
          <t>ÖSTERGÖTLANDS LÄN</t>
        </is>
      </c>
      <c r="E4182" t="inlineStr">
        <is>
          <t>FINSPÅNG</t>
        </is>
      </c>
      <c r="F4182" t="inlineStr">
        <is>
          <t>Holmen skog AB</t>
        </is>
      </c>
      <c r="G4182" t="n">
        <v>1.4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s="2" t="inlineStr"/>
    </row>
    <row r="4183" ht="15" customHeight="1">
      <c r="A4183" t="inlineStr">
        <is>
          <t>A 22463-2022</t>
        </is>
      </c>
      <c r="B4183" s="1" t="n">
        <v>44713</v>
      </c>
      <c r="C4183" s="1" t="n">
        <v>45211</v>
      </c>
      <c r="D4183" t="inlineStr">
        <is>
          <t>ÖSTERGÖTLANDS LÄN</t>
        </is>
      </c>
      <c r="E4183" t="inlineStr">
        <is>
          <t>NORRKÖPING</t>
        </is>
      </c>
      <c r="G4183" t="n">
        <v>0.9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s="2" t="inlineStr"/>
    </row>
    <row r="4184" ht="15" customHeight="1">
      <c r="A4184" t="inlineStr">
        <is>
          <t>A 22533-2022</t>
        </is>
      </c>
      <c r="B4184" s="1" t="n">
        <v>44713</v>
      </c>
      <c r="C4184" s="1" t="n">
        <v>45211</v>
      </c>
      <c r="D4184" t="inlineStr">
        <is>
          <t>ÖSTERGÖTLANDS LÄN</t>
        </is>
      </c>
      <c r="E4184" t="inlineStr">
        <is>
          <t>SÖDERKÖPING</t>
        </is>
      </c>
      <c r="G4184" t="n">
        <v>6.4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s="2" t="inlineStr"/>
    </row>
    <row r="4185" ht="15" customHeight="1">
      <c r="A4185" t="inlineStr">
        <is>
          <t>A 22409-2022</t>
        </is>
      </c>
      <c r="B4185" s="1" t="n">
        <v>44713</v>
      </c>
      <c r="C4185" s="1" t="n">
        <v>45211</v>
      </c>
      <c r="D4185" t="inlineStr">
        <is>
          <t>ÖSTERGÖTLANDS LÄN</t>
        </is>
      </c>
      <c r="E4185" t="inlineStr">
        <is>
          <t>YDRE</t>
        </is>
      </c>
      <c r="F4185" t="inlineStr">
        <is>
          <t>Kyrkan</t>
        </is>
      </c>
      <c r="G4185" t="n">
        <v>3.5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s="2" t="inlineStr"/>
    </row>
    <row r="4186" ht="15" customHeight="1">
      <c r="A4186" t="inlineStr">
        <is>
          <t>A 22714-2022</t>
        </is>
      </c>
      <c r="B4186" s="1" t="n">
        <v>44714</v>
      </c>
      <c r="C4186" s="1" t="n">
        <v>45211</v>
      </c>
      <c r="D4186" t="inlineStr">
        <is>
          <t>ÖSTERGÖTLANDS LÄN</t>
        </is>
      </c>
      <c r="E4186" t="inlineStr">
        <is>
          <t>FINSPÅNG</t>
        </is>
      </c>
      <c r="G4186" t="n">
        <v>0.9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s="2" t="inlineStr"/>
    </row>
    <row r="4187" ht="15" customHeight="1">
      <c r="A4187" t="inlineStr">
        <is>
          <t>A 23175-2022</t>
        </is>
      </c>
      <c r="B4187" s="1" t="n">
        <v>44719</v>
      </c>
      <c r="C4187" s="1" t="n">
        <v>45211</v>
      </c>
      <c r="D4187" t="inlineStr">
        <is>
          <t>ÖSTERGÖTLANDS LÄN</t>
        </is>
      </c>
      <c r="E4187" t="inlineStr">
        <is>
          <t>NORRKÖPING</t>
        </is>
      </c>
      <c r="F4187" t="inlineStr">
        <is>
          <t>Allmännings- och besparingsskogar</t>
        </is>
      </c>
      <c r="G4187" t="n">
        <v>1.4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s="2" t="inlineStr"/>
    </row>
    <row r="4188" ht="15" customHeight="1">
      <c r="A4188" t="inlineStr">
        <is>
          <t>A 23248-2022</t>
        </is>
      </c>
      <c r="B4188" s="1" t="n">
        <v>44720</v>
      </c>
      <c r="C4188" s="1" t="n">
        <v>45211</v>
      </c>
      <c r="D4188" t="inlineStr">
        <is>
          <t>ÖSTERGÖTLANDS LÄN</t>
        </is>
      </c>
      <c r="E4188" t="inlineStr">
        <is>
          <t>KINDA</t>
        </is>
      </c>
      <c r="G4188" t="n">
        <v>1.7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s="2" t="inlineStr"/>
    </row>
    <row r="4189" ht="15" customHeight="1">
      <c r="A4189" t="inlineStr">
        <is>
          <t>A 23290-2022</t>
        </is>
      </c>
      <c r="B4189" s="1" t="n">
        <v>44720</v>
      </c>
      <c r="C4189" s="1" t="n">
        <v>45211</v>
      </c>
      <c r="D4189" t="inlineStr">
        <is>
          <t>ÖSTERGÖTLANDS LÄN</t>
        </is>
      </c>
      <c r="E4189" t="inlineStr">
        <is>
          <t>FINSPÅNG</t>
        </is>
      </c>
      <c r="F4189" t="inlineStr">
        <is>
          <t>Holmen skog AB</t>
        </is>
      </c>
      <c r="G4189" t="n">
        <v>1.9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s="2" t="inlineStr"/>
    </row>
    <row r="4190" ht="15" customHeight="1">
      <c r="A4190" t="inlineStr">
        <is>
          <t>A 23783-2022</t>
        </is>
      </c>
      <c r="B4190" s="1" t="n">
        <v>44721</v>
      </c>
      <c r="C4190" s="1" t="n">
        <v>45211</v>
      </c>
      <c r="D4190" t="inlineStr">
        <is>
          <t>ÖSTERGÖTLANDS LÄN</t>
        </is>
      </c>
      <c r="E4190" t="inlineStr">
        <is>
          <t>NORRKÖPING</t>
        </is>
      </c>
      <c r="G4190" t="n">
        <v>11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s="2" t="inlineStr"/>
    </row>
    <row r="4191" ht="15" customHeight="1">
      <c r="A4191" t="inlineStr">
        <is>
          <t>A 23520-2022</t>
        </is>
      </c>
      <c r="B4191" s="1" t="n">
        <v>44721</v>
      </c>
      <c r="C4191" s="1" t="n">
        <v>45211</v>
      </c>
      <c r="D4191" t="inlineStr">
        <is>
          <t>ÖSTERGÖTLANDS LÄN</t>
        </is>
      </c>
      <c r="E4191" t="inlineStr">
        <is>
          <t>ÅTVIDABERG</t>
        </is>
      </c>
      <c r="G4191" t="n">
        <v>0.6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s="2" t="inlineStr"/>
    </row>
    <row r="4192" ht="15" customHeight="1">
      <c r="A4192" t="inlineStr">
        <is>
          <t>A 23767-2022</t>
        </is>
      </c>
      <c r="B4192" s="1" t="n">
        <v>44721</v>
      </c>
      <c r="C4192" s="1" t="n">
        <v>45211</v>
      </c>
      <c r="D4192" t="inlineStr">
        <is>
          <t>ÖSTERGÖTLANDS LÄN</t>
        </is>
      </c>
      <c r="E4192" t="inlineStr">
        <is>
          <t>SÖDERKÖPING</t>
        </is>
      </c>
      <c r="G4192" t="n">
        <v>1.8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s="2" t="inlineStr"/>
    </row>
    <row r="4193" ht="15" customHeight="1">
      <c r="A4193" t="inlineStr">
        <is>
          <t>A 23517-2022</t>
        </is>
      </c>
      <c r="B4193" s="1" t="n">
        <v>44721</v>
      </c>
      <c r="C4193" s="1" t="n">
        <v>45211</v>
      </c>
      <c r="D4193" t="inlineStr">
        <is>
          <t>ÖSTERGÖTLANDS LÄN</t>
        </is>
      </c>
      <c r="E4193" t="inlineStr">
        <is>
          <t>ÅTVIDABERG</t>
        </is>
      </c>
      <c r="G4193" t="n">
        <v>1.2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s="2" t="inlineStr"/>
    </row>
    <row r="4194" ht="15" customHeight="1">
      <c r="A4194" t="inlineStr">
        <is>
          <t>A 23525-2022</t>
        </is>
      </c>
      <c r="B4194" s="1" t="n">
        <v>44721</v>
      </c>
      <c r="C4194" s="1" t="n">
        <v>45211</v>
      </c>
      <c r="D4194" t="inlineStr">
        <is>
          <t>ÖSTERGÖTLANDS LÄN</t>
        </is>
      </c>
      <c r="E4194" t="inlineStr">
        <is>
          <t>ÅTVIDABERG</t>
        </is>
      </c>
      <c r="G4194" t="n">
        <v>2.3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s="2" t="inlineStr"/>
    </row>
    <row r="4195" ht="15" customHeight="1">
      <c r="A4195" t="inlineStr">
        <is>
          <t>A 23530-2022</t>
        </is>
      </c>
      <c r="B4195" s="1" t="n">
        <v>44721</v>
      </c>
      <c r="C4195" s="1" t="n">
        <v>45211</v>
      </c>
      <c r="D4195" t="inlineStr">
        <is>
          <t>ÖSTERGÖTLANDS LÄN</t>
        </is>
      </c>
      <c r="E4195" t="inlineStr">
        <is>
          <t>ÅTVIDABERG</t>
        </is>
      </c>
      <c r="G4195" t="n">
        <v>0.9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s="2" t="inlineStr"/>
    </row>
    <row r="4196" ht="15" customHeight="1">
      <c r="A4196" t="inlineStr">
        <is>
          <t>A 23774-2022</t>
        </is>
      </c>
      <c r="B4196" s="1" t="n">
        <v>44722</v>
      </c>
      <c r="C4196" s="1" t="n">
        <v>45211</v>
      </c>
      <c r="D4196" t="inlineStr">
        <is>
          <t>ÖSTERGÖTLANDS LÄN</t>
        </is>
      </c>
      <c r="E4196" t="inlineStr">
        <is>
          <t>SÖDERKÖPING</t>
        </is>
      </c>
      <c r="G4196" t="n">
        <v>1.1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s="2" t="inlineStr"/>
    </row>
    <row r="4197" ht="15" customHeight="1">
      <c r="A4197" t="inlineStr">
        <is>
          <t>A 23827-2022</t>
        </is>
      </c>
      <c r="B4197" s="1" t="n">
        <v>44722</v>
      </c>
      <c r="C4197" s="1" t="n">
        <v>45211</v>
      </c>
      <c r="D4197" t="inlineStr">
        <is>
          <t>ÖSTERGÖTLANDS LÄN</t>
        </is>
      </c>
      <c r="E4197" t="inlineStr">
        <is>
          <t>VALDEMARSVIK</t>
        </is>
      </c>
      <c r="G4197" t="n">
        <v>1.6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s="2" t="inlineStr"/>
    </row>
    <row r="4198" ht="15" customHeight="1">
      <c r="A4198" t="inlineStr">
        <is>
          <t>A 23844-2022</t>
        </is>
      </c>
      <c r="B4198" s="1" t="n">
        <v>44722</v>
      </c>
      <c r="C4198" s="1" t="n">
        <v>45211</v>
      </c>
      <c r="D4198" t="inlineStr">
        <is>
          <t>ÖSTERGÖTLANDS LÄN</t>
        </is>
      </c>
      <c r="E4198" t="inlineStr">
        <is>
          <t>ÅTVIDABERG</t>
        </is>
      </c>
      <c r="G4198" t="n">
        <v>2.8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s="2" t="inlineStr"/>
    </row>
    <row r="4199" ht="15" customHeight="1">
      <c r="A4199" t="inlineStr">
        <is>
          <t>A 24085-2022</t>
        </is>
      </c>
      <c r="B4199" s="1" t="n">
        <v>44724</v>
      </c>
      <c r="C4199" s="1" t="n">
        <v>45211</v>
      </c>
      <c r="D4199" t="inlineStr">
        <is>
          <t>ÖSTERGÖTLANDS LÄN</t>
        </is>
      </c>
      <c r="E4199" t="inlineStr">
        <is>
          <t>ÅTVIDABERG</t>
        </is>
      </c>
      <c r="G4199" t="n">
        <v>0.5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s="2" t="inlineStr"/>
    </row>
    <row r="4200" ht="15" customHeight="1">
      <c r="A4200" t="inlineStr">
        <is>
          <t>A 24234-2022</t>
        </is>
      </c>
      <c r="B4200" s="1" t="n">
        <v>44725</v>
      </c>
      <c r="C4200" s="1" t="n">
        <v>45211</v>
      </c>
      <c r="D4200" t="inlineStr">
        <is>
          <t>ÖSTERGÖTLANDS LÄN</t>
        </is>
      </c>
      <c r="E4200" t="inlineStr">
        <is>
          <t>VALDEMARSVIK</t>
        </is>
      </c>
      <c r="G4200" t="n">
        <v>1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s="2" t="inlineStr"/>
    </row>
    <row r="4201" ht="15" customHeight="1">
      <c r="A4201" t="inlineStr">
        <is>
          <t>A 24498-2022</t>
        </is>
      </c>
      <c r="B4201" s="1" t="n">
        <v>44726</v>
      </c>
      <c r="C4201" s="1" t="n">
        <v>45211</v>
      </c>
      <c r="D4201" t="inlineStr">
        <is>
          <t>ÖSTERGÖTLANDS LÄN</t>
        </is>
      </c>
      <c r="E4201" t="inlineStr">
        <is>
          <t>NORRKÖPING</t>
        </is>
      </c>
      <c r="F4201" t="inlineStr">
        <is>
          <t>Allmännings- och besparingsskogar</t>
        </is>
      </c>
      <c r="G4201" t="n">
        <v>1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s="2" t="inlineStr"/>
    </row>
    <row r="4202" ht="15" customHeight="1">
      <c r="A4202" t="inlineStr">
        <is>
          <t>A 24350-2022</t>
        </is>
      </c>
      <c r="B4202" s="1" t="n">
        <v>44726</v>
      </c>
      <c r="C4202" s="1" t="n">
        <v>45211</v>
      </c>
      <c r="D4202" t="inlineStr">
        <is>
          <t>ÖSTERGÖTLANDS LÄN</t>
        </is>
      </c>
      <c r="E4202" t="inlineStr">
        <is>
          <t>VALDEMARSVIK</t>
        </is>
      </c>
      <c r="G4202" t="n">
        <v>0.8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s="2" t="inlineStr"/>
    </row>
    <row r="4203" ht="15" customHeight="1">
      <c r="A4203" t="inlineStr">
        <is>
          <t>A 24804-2022</t>
        </is>
      </c>
      <c r="B4203" s="1" t="n">
        <v>44728</v>
      </c>
      <c r="C4203" s="1" t="n">
        <v>45211</v>
      </c>
      <c r="D4203" t="inlineStr">
        <is>
          <t>ÖSTERGÖTLANDS LÄN</t>
        </is>
      </c>
      <c r="E4203" t="inlineStr">
        <is>
          <t>YDRE</t>
        </is>
      </c>
      <c r="F4203" t="inlineStr">
        <is>
          <t>Övriga Aktiebolag</t>
        </is>
      </c>
      <c r="G4203" t="n">
        <v>1.2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s="2" t="inlineStr"/>
    </row>
    <row r="4204" ht="15" customHeight="1">
      <c r="A4204" t="inlineStr">
        <is>
          <t>A 24865-2022</t>
        </is>
      </c>
      <c r="B4204" s="1" t="n">
        <v>44728</v>
      </c>
      <c r="C4204" s="1" t="n">
        <v>45211</v>
      </c>
      <c r="D4204" t="inlineStr">
        <is>
          <t>ÖSTERGÖTLANDS LÄN</t>
        </is>
      </c>
      <c r="E4204" t="inlineStr">
        <is>
          <t>ÅTVIDABERG</t>
        </is>
      </c>
      <c r="G4204" t="n">
        <v>1.3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s="2" t="inlineStr"/>
    </row>
    <row r="4205" ht="15" customHeight="1">
      <c r="A4205" t="inlineStr">
        <is>
          <t>A 24950-2022</t>
        </is>
      </c>
      <c r="B4205" s="1" t="n">
        <v>44728</v>
      </c>
      <c r="C4205" s="1" t="n">
        <v>45211</v>
      </c>
      <c r="D4205" t="inlineStr">
        <is>
          <t>ÖSTERGÖTLANDS LÄN</t>
        </is>
      </c>
      <c r="E4205" t="inlineStr">
        <is>
          <t>SÖDERKÖPING</t>
        </is>
      </c>
      <c r="G4205" t="n">
        <v>8.5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s="2" t="inlineStr"/>
    </row>
    <row r="4206" ht="15" customHeight="1">
      <c r="A4206" t="inlineStr">
        <is>
          <t>A 24972-2022</t>
        </is>
      </c>
      <c r="B4206" s="1" t="n">
        <v>44728</v>
      </c>
      <c r="C4206" s="1" t="n">
        <v>45211</v>
      </c>
      <c r="D4206" t="inlineStr">
        <is>
          <t>ÖSTERGÖTLANDS LÄN</t>
        </is>
      </c>
      <c r="E4206" t="inlineStr">
        <is>
          <t>VALDEMARSVIK</t>
        </is>
      </c>
      <c r="G4206" t="n">
        <v>1.5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s="2" t="inlineStr"/>
    </row>
    <row r="4207" ht="15" customHeight="1">
      <c r="A4207" t="inlineStr">
        <is>
          <t>A 24801-2022</t>
        </is>
      </c>
      <c r="B4207" s="1" t="n">
        <v>44728</v>
      </c>
      <c r="C4207" s="1" t="n">
        <v>45211</v>
      </c>
      <c r="D4207" t="inlineStr">
        <is>
          <t>ÖSTERGÖTLANDS LÄN</t>
        </is>
      </c>
      <c r="E4207" t="inlineStr">
        <is>
          <t>YDRE</t>
        </is>
      </c>
      <c r="F4207" t="inlineStr">
        <is>
          <t>Övriga Aktiebolag</t>
        </is>
      </c>
      <c r="G4207" t="n">
        <v>5.1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s="2" t="inlineStr"/>
    </row>
    <row r="4208" ht="15" customHeight="1">
      <c r="A4208" t="inlineStr">
        <is>
          <t>A 24959-2022</t>
        </is>
      </c>
      <c r="B4208" s="1" t="n">
        <v>44728</v>
      </c>
      <c r="C4208" s="1" t="n">
        <v>45211</v>
      </c>
      <c r="D4208" t="inlineStr">
        <is>
          <t>ÖSTERGÖTLANDS LÄN</t>
        </is>
      </c>
      <c r="E4208" t="inlineStr">
        <is>
          <t>SÖDERKÖPING</t>
        </is>
      </c>
      <c r="F4208" t="inlineStr">
        <is>
          <t>Allmännings- och besparingsskogar</t>
        </is>
      </c>
      <c r="G4208" t="n">
        <v>1.9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s="2" t="inlineStr"/>
    </row>
    <row r="4209" ht="15" customHeight="1">
      <c r="A4209" t="inlineStr">
        <is>
          <t>A 25195-2022</t>
        </is>
      </c>
      <c r="B4209" s="1" t="n">
        <v>44729</v>
      </c>
      <c r="C4209" s="1" t="n">
        <v>45211</v>
      </c>
      <c r="D4209" t="inlineStr">
        <is>
          <t>ÖSTERGÖTLANDS LÄN</t>
        </is>
      </c>
      <c r="E4209" t="inlineStr">
        <is>
          <t>FINSPÅNG</t>
        </is>
      </c>
      <c r="G4209" t="n">
        <v>2.7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s="2" t="inlineStr"/>
    </row>
    <row r="4210" ht="15" customHeight="1">
      <c r="A4210" t="inlineStr">
        <is>
          <t>A 25188-2022</t>
        </is>
      </c>
      <c r="B4210" s="1" t="n">
        <v>44729</v>
      </c>
      <c r="C4210" s="1" t="n">
        <v>45211</v>
      </c>
      <c r="D4210" t="inlineStr">
        <is>
          <t>ÖSTERGÖTLANDS LÄN</t>
        </is>
      </c>
      <c r="E4210" t="inlineStr">
        <is>
          <t>KINDA</t>
        </is>
      </c>
      <c r="G4210" t="n">
        <v>0.1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s="2" t="inlineStr"/>
    </row>
    <row r="4211" ht="15" customHeight="1">
      <c r="A4211" t="inlineStr">
        <is>
          <t>A 25280-2022</t>
        </is>
      </c>
      <c r="B4211" s="1" t="n">
        <v>44730</v>
      </c>
      <c r="C4211" s="1" t="n">
        <v>45211</v>
      </c>
      <c r="D4211" t="inlineStr">
        <is>
          <t>ÖSTERGÖTLANDS LÄN</t>
        </is>
      </c>
      <c r="E4211" t="inlineStr">
        <is>
          <t>NORRKÖPING</t>
        </is>
      </c>
      <c r="F4211" t="inlineStr">
        <is>
          <t>Allmännings- och besparingsskogar</t>
        </is>
      </c>
      <c r="G4211" t="n">
        <v>0.6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s="2" t="inlineStr"/>
    </row>
    <row r="4212" ht="15" customHeight="1">
      <c r="A4212" t="inlineStr">
        <is>
          <t>A 25288-2022</t>
        </is>
      </c>
      <c r="B4212" s="1" t="n">
        <v>44730</v>
      </c>
      <c r="C4212" s="1" t="n">
        <v>45211</v>
      </c>
      <c r="D4212" t="inlineStr">
        <is>
          <t>ÖSTERGÖTLANDS LÄN</t>
        </is>
      </c>
      <c r="E4212" t="inlineStr">
        <is>
          <t>NORRKÖPING</t>
        </is>
      </c>
      <c r="F4212" t="inlineStr">
        <is>
          <t>Allmännings- och besparingsskogar</t>
        </is>
      </c>
      <c r="G4212" t="n">
        <v>4.1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s="2" t="inlineStr"/>
    </row>
    <row r="4213" ht="15" customHeight="1">
      <c r="A4213" t="inlineStr">
        <is>
          <t>A 25420-2022</t>
        </is>
      </c>
      <c r="B4213" s="1" t="n">
        <v>44732</v>
      </c>
      <c r="C4213" s="1" t="n">
        <v>45211</v>
      </c>
      <c r="D4213" t="inlineStr">
        <is>
          <t>ÖSTERGÖTLANDS LÄN</t>
        </is>
      </c>
      <c r="E4213" t="inlineStr">
        <is>
          <t>FINSPÅNG</t>
        </is>
      </c>
      <c r="F4213" t="inlineStr">
        <is>
          <t>Holmen skog AB</t>
        </is>
      </c>
      <c r="G4213" t="n">
        <v>2.5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s="2" t="inlineStr"/>
    </row>
    <row r="4214" ht="15" customHeight="1">
      <c r="A4214" t="inlineStr">
        <is>
          <t>A 25626-2022</t>
        </is>
      </c>
      <c r="B4214" s="1" t="n">
        <v>44732</v>
      </c>
      <c r="C4214" s="1" t="n">
        <v>45211</v>
      </c>
      <c r="D4214" t="inlineStr">
        <is>
          <t>ÖSTERGÖTLANDS LÄN</t>
        </is>
      </c>
      <c r="E4214" t="inlineStr">
        <is>
          <t>KINDA</t>
        </is>
      </c>
      <c r="G4214" t="n">
        <v>7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s="2" t="inlineStr"/>
    </row>
    <row r="4215" ht="15" customHeight="1">
      <c r="A4215" t="inlineStr">
        <is>
          <t>A 25600-2022</t>
        </is>
      </c>
      <c r="B4215" s="1" t="n">
        <v>44732</v>
      </c>
      <c r="C4215" s="1" t="n">
        <v>45211</v>
      </c>
      <c r="D4215" t="inlineStr">
        <is>
          <t>ÖSTERGÖTLANDS LÄN</t>
        </is>
      </c>
      <c r="E4215" t="inlineStr">
        <is>
          <t>MOTALA</t>
        </is>
      </c>
      <c r="F4215" t="inlineStr">
        <is>
          <t>Övriga statliga verk och myndigheter</t>
        </is>
      </c>
      <c r="G4215" t="n">
        <v>14.3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s="2" t="inlineStr"/>
    </row>
    <row r="4216" ht="15" customHeight="1">
      <c r="A4216" t="inlineStr">
        <is>
          <t>A 25356-2022</t>
        </is>
      </c>
      <c r="B4216" s="1" t="n">
        <v>44732</v>
      </c>
      <c r="C4216" s="1" t="n">
        <v>45211</v>
      </c>
      <c r="D4216" t="inlineStr">
        <is>
          <t>ÖSTERGÖTLANDS LÄN</t>
        </is>
      </c>
      <c r="E4216" t="inlineStr">
        <is>
          <t>FINSPÅNG</t>
        </is>
      </c>
      <c r="F4216" t="inlineStr">
        <is>
          <t>Holmen skog AB</t>
        </is>
      </c>
      <c r="G4216" t="n">
        <v>1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s="2" t="inlineStr"/>
    </row>
    <row r="4217" ht="15" customHeight="1">
      <c r="A4217" t="inlineStr">
        <is>
          <t>A 26087-2022</t>
        </is>
      </c>
      <c r="B4217" s="1" t="n">
        <v>44734</v>
      </c>
      <c r="C4217" s="1" t="n">
        <v>45211</v>
      </c>
      <c r="D4217" t="inlineStr">
        <is>
          <t>ÖSTERGÖTLANDS LÄN</t>
        </is>
      </c>
      <c r="E4217" t="inlineStr">
        <is>
          <t>FINSPÅNG</t>
        </is>
      </c>
      <c r="G4217" t="n">
        <v>0.5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s="2" t="inlineStr"/>
    </row>
    <row r="4218" ht="15" customHeight="1">
      <c r="A4218" t="inlineStr">
        <is>
          <t>A 26243-2022</t>
        </is>
      </c>
      <c r="B4218" s="1" t="n">
        <v>44735</v>
      </c>
      <c r="C4218" s="1" t="n">
        <v>45211</v>
      </c>
      <c r="D4218" t="inlineStr">
        <is>
          <t>ÖSTERGÖTLANDS LÄN</t>
        </is>
      </c>
      <c r="E4218" t="inlineStr">
        <is>
          <t>FINSPÅNG</t>
        </is>
      </c>
      <c r="G4218" t="n">
        <v>11.9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s="2" t="inlineStr"/>
    </row>
    <row r="4219" ht="15" customHeight="1">
      <c r="A4219" t="inlineStr">
        <is>
          <t>A 26348-2022</t>
        </is>
      </c>
      <c r="B4219" s="1" t="n">
        <v>44735</v>
      </c>
      <c r="C4219" s="1" t="n">
        <v>45211</v>
      </c>
      <c r="D4219" t="inlineStr">
        <is>
          <t>ÖSTERGÖTLANDS LÄN</t>
        </is>
      </c>
      <c r="E4219" t="inlineStr">
        <is>
          <t>ÅTVIDABERG</t>
        </is>
      </c>
      <c r="G4219" t="n">
        <v>2.7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s="2" t="inlineStr"/>
    </row>
    <row r="4220" ht="15" customHeight="1">
      <c r="A4220" t="inlineStr">
        <is>
          <t>A 26580-2022</t>
        </is>
      </c>
      <c r="B4220" s="1" t="n">
        <v>44739</v>
      </c>
      <c r="C4220" s="1" t="n">
        <v>45211</v>
      </c>
      <c r="D4220" t="inlineStr">
        <is>
          <t>ÖSTERGÖTLANDS LÄN</t>
        </is>
      </c>
      <c r="E4220" t="inlineStr">
        <is>
          <t>NORRKÖPING</t>
        </is>
      </c>
      <c r="G4220" t="n">
        <v>0.5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s="2" t="inlineStr"/>
    </row>
    <row r="4221" ht="15" customHeight="1">
      <c r="A4221" t="inlineStr">
        <is>
          <t>A 26929-2022</t>
        </is>
      </c>
      <c r="B4221" s="1" t="n">
        <v>44740</v>
      </c>
      <c r="C4221" s="1" t="n">
        <v>45211</v>
      </c>
      <c r="D4221" t="inlineStr">
        <is>
          <t>ÖSTERGÖTLANDS LÄN</t>
        </is>
      </c>
      <c r="E4221" t="inlineStr">
        <is>
          <t>NORRKÖPING</t>
        </is>
      </c>
      <c r="G4221" t="n">
        <v>4.5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s="2" t="inlineStr"/>
    </row>
    <row r="4222" ht="15" customHeight="1">
      <c r="A4222" t="inlineStr">
        <is>
          <t>A 26788-2022</t>
        </is>
      </c>
      <c r="B4222" s="1" t="n">
        <v>44740</v>
      </c>
      <c r="C4222" s="1" t="n">
        <v>45211</v>
      </c>
      <c r="D4222" t="inlineStr">
        <is>
          <t>ÖSTERGÖTLANDS LÄN</t>
        </is>
      </c>
      <c r="E4222" t="inlineStr">
        <is>
          <t>LINKÖPING</t>
        </is>
      </c>
      <c r="G4222" t="n">
        <v>3.2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s="2" t="inlineStr"/>
    </row>
    <row r="4223" ht="15" customHeight="1">
      <c r="A4223" t="inlineStr">
        <is>
          <t>A 27162-2022</t>
        </is>
      </c>
      <c r="B4223" s="1" t="n">
        <v>44741</v>
      </c>
      <c r="C4223" s="1" t="n">
        <v>45211</v>
      </c>
      <c r="D4223" t="inlineStr">
        <is>
          <t>ÖSTERGÖTLANDS LÄN</t>
        </is>
      </c>
      <c r="E4223" t="inlineStr">
        <is>
          <t>FINSPÅNG</t>
        </is>
      </c>
      <c r="G4223" t="n">
        <v>0.7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s="2" t="inlineStr"/>
    </row>
    <row r="4224" ht="15" customHeight="1">
      <c r="A4224" t="inlineStr">
        <is>
          <t>A 27170-2022</t>
        </is>
      </c>
      <c r="B4224" s="1" t="n">
        <v>44741</v>
      </c>
      <c r="C4224" s="1" t="n">
        <v>45211</v>
      </c>
      <c r="D4224" t="inlineStr">
        <is>
          <t>ÖSTERGÖTLANDS LÄN</t>
        </is>
      </c>
      <c r="E4224" t="inlineStr">
        <is>
          <t>ÅTVIDABERG</t>
        </is>
      </c>
      <c r="G4224" t="n">
        <v>2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s="2" t="inlineStr"/>
    </row>
    <row r="4225" ht="15" customHeight="1">
      <c r="A4225" t="inlineStr">
        <is>
          <t>A 27040-2022</t>
        </is>
      </c>
      <c r="B4225" s="1" t="n">
        <v>44741</v>
      </c>
      <c r="C4225" s="1" t="n">
        <v>45211</v>
      </c>
      <c r="D4225" t="inlineStr">
        <is>
          <t>ÖSTERGÖTLANDS LÄN</t>
        </is>
      </c>
      <c r="E4225" t="inlineStr">
        <is>
          <t>NORRKÖPING</t>
        </is>
      </c>
      <c r="G4225" t="n">
        <v>1.1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s="2" t="inlineStr"/>
    </row>
    <row r="4226" ht="15" customHeight="1">
      <c r="A4226" t="inlineStr">
        <is>
          <t>A 27155-2022</t>
        </is>
      </c>
      <c r="B4226" s="1" t="n">
        <v>44741</v>
      </c>
      <c r="C4226" s="1" t="n">
        <v>45211</v>
      </c>
      <c r="D4226" t="inlineStr">
        <is>
          <t>ÖSTERGÖTLANDS LÄN</t>
        </is>
      </c>
      <c r="E4226" t="inlineStr">
        <is>
          <t>FINSPÅNG</t>
        </is>
      </c>
      <c r="G4226" t="n">
        <v>0.5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s="2" t="inlineStr"/>
    </row>
    <row r="4227" ht="15" customHeight="1">
      <c r="A4227" t="inlineStr">
        <is>
          <t>A 27493-2022</t>
        </is>
      </c>
      <c r="B4227" s="1" t="n">
        <v>44742</v>
      </c>
      <c r="C4227" s="1" t="n">
        <v>45211</v>
      </c>
      <c r="D4227" t="inlineStr">
        <is>
          <t>ÖSTERGÖTLANDS LÄN</t>
        </is>
      </c>
      <c r="E4227" t="inlineStr">
        <is>
          <t>FINSPÅNG</t>
        </is>
      </c>
      <c r="F4227" t="inlineStr">
        <is>
          <t>Holmen skog AB</t>
        </is>
      </c>
      <c r="G4227" t="n">
        <v>0.6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s="2" t="inlineStr"/>
    </row>
    <row r="4228" ht="15" customHeight="1">
      <c r="A4228" t="inlineStr">
        <is>
          <t>A 27469-2022</t>
        </is>
      </c>
      <c r="B4228" s="1" t="n">
        <v>44742</v>
      </c>
      <c r="C4228" s="1" t="n">
        <v>45211</v>
      </c>
      <c r="D4228" t="inlineStr">
        <is>
          <t>ÖSTERGÖTLANDS LÄN</t>
        </is>
      </c>
      <c r="E4228" t="inlineStr">
        <is>
          <t>FINSPÅNG</t>
        </is>
      </c>
      <c r="F4228" t="inlineStr">
        <is>
          <t>Holmen skog AB</t>
        </is>
      </c>
      <c r="G4228" t="n">
        <v>1.1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s="2" t="inlineStr"/>
    </row>
    <row r="4229" ht="15" customHeight="1">
      <c r="A4229" t="inlineStr">
        <is>
          <t>A 27376-2022</t>
        </is>
      </c>
      <c r="B4229" s="1" t="n">
        <v>44742</v>
      </c>
      <c r="C4229" s="1" t="n">
        <v>45211</v>
      </c>
      <c r="D4229" t="inlineStr">
        <is>
          <t>ÖSTERGÖTLANDS LÄN</t>
        </is>
      </c>
      <c r="E4229" t="inlineStr">
        <is>
          <t>KINDA</t>
        </is>
      </c>
      <c r="G4229" t="n">
        <v>1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s="2" t="inlineStr"/>
    </row>
    <row r="4230" ht="15" customHeight="1">
      <c r="A4230" t="inlineStr">
        <is>
          <t>A 27415-2022</t>
        </is>
      </c>
      <c r="B4230" s="1" t="n">
        <v>44742</v>
      </c>
      <c r="C4230" s="1" t="n">
        <v>45211</v>
      </c>
      <c r="D4230" t="inlineStr">
        <is>
          <t>ÖSTERGÖTLANDS LÄN</t>
        </is>
      </c>
      <c r="E4230" t="inlineStr">
        <is>
          <t>ÅTVIDABERG</t>
        </is>
      </c>
      <c r="G4230" t="n">
        <v>1.8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s="2" t="inlineStr"/>
    </row>
    <row r="4231" ht="15" customHeight="1">
      <c r="A4231" t="inlineStr">
        <is>
          <t>A 27417-2022</t>
        </is>
      </c>
      <c r="B4231" s="1" t="n">
        <v>44742</v>
      </c>
      <c r="C4231" s="1" t="n">
        <v>45211</v>
      </c>
      <c r="D4231" t="inlineStr">
        <is>
          <t>ÖSTERGÖTLANDS LÄN</t>
        </is>
      </c>
      <c r="E4231" t="inlineStr">
        <is>
          <t>ÅTVIDABERG</t>
        </is>
      </c>
      <c r="G4231" t="n">
        <v>1.8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s="2" t="inlineStr"/>
    </row>
    <row r="4232" ht="15" customHeight="1">
      <c r="A4232" t="inlineStr">
        <is>
          <t>A 27503-2022</t>
        </is>
      </c>
      <c r="B4232" s="1" t="n">
        <v>44742</v>
      </c>
      <c r="C4232" s="1" t="n">
        <v>45211</v>
      </c>
      <c r="D4232" t="inlineStr">
        <is>
          <t>ÖSTERGÖTLANDS LÄN</t>
        </is>
      </c>
      <c r="E4232" t="inlineStr">
        <is>
          <t>NORRKÖPING</t>
        </is>
      </c>
      <c r="G4232" t="n">
        <v>2.9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s="2" t="inlineStr"/>
    </row>
    <row r="4233" ht="15" customHeight="1">
      <c r="A4233" t="inlineStr">
        <is>
          <t>A 27648-2022</t>
        </is>
      </c>
      <c r="B4233" s="1" t="n">
        <v>44743</v>
      </c>
      <c r="C4233" s="1" t="n">
        <v>45211</v>
      </c>
      <c r="D4233" t="inlineStr">
        <is>
          <t>ÖSTERGÖTLANDS LÄN</t>
        </is>
      </c>
      <c r="E4233" t="inlineStr">
        <is>
          <t>ÖDESHÖG</t>
        </is>
      </c>
      <c r="G4233" t="n">
        <v>0.7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s="2" t="inlineStr"/>
    </row>
    <row r="4234" ht="15" customHeight="1">
      <c r="A4234" t="inlineStr">
        <is>
          <t>A 27745-2022</t>
        </is>
      </c>
      <c r="B4234" s="1" t="n">
        <v>44743</v>
      </c>
      <c r="C4234" s="1" t="n">
        <v>45211</v>
      </c>
      <c r="D4234" t="inlineStr">
        <is>
          <t>ÖSTERGÖTLANDS LÄN</t>
        </is>
      </c>
      <c r="E4234" t="inlineStr">
        <is>
          <t>MJÖLBY</t>
        </is>
      </c>
      <c r="G4234" t="n">
        <v>0.6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s="2" t="inlineStr"/>
    </row>
    <row r="4235" ht="15" customHeight="1">
      <c r="A4235" t="inlineStr">
        <is>
          <t>A 27735-2022</t>
        </is>
      </c>
      <c r="B4235" s="1" t="n">
        <v>44743</v>
      </c>
      <c r="C4235" s="1" t="n">
        <v>45211</v>
      </c>
      <c r="D4235" t="inlineStr">
        <is>
          <t>ÖSTERGÖTLANDS LÄN</t>
        </is>
      </c>
      <c r="E4235" t="inlineStr">
        <is>
          <t>LINKÖPING</t>
        </is>
      </c>
      <c r="G4235" t="n">
        <v>3.5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s="2" t="inlineStr"/>
    </row>
    <row r="4236" ht="15" customHeight="1">
      <c r="A4236" t="inlineStr">
        <is>
          <t>A 27751-2022</t>
        </is>
      </c>
      <c r="B4236" s="1" t="n">
        <v>44743</v>
      </c>
      <c r="C4236" s="1" t="n">
        <v>45211</v>
      </c>
      <c r="D4236" t="inlineStr">
        <is>
          <t>ÖSTERGÖTLANDS LÄN</t>
        </is>
      </c>
      <c r="E4236" t="inlineStr">
        <is>
          <t>MJÖLBY</t>
        </is>
      </c>
      <c r="G4236" t="n">
        <v>1.7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s="2" t="inlineStr"/>
    </row>
    <row r="4237" ht="15" customHeight="1">
      <c r="A4237" t="inlineStr">
        <is>
          <t>A 27657-2022</t>
        </is>
      </c>
      <c r="B4237" s="1" t="n">
        <v>44743</v>
      </c>
      <c r="C4237" s="1" t="n">
        <v>45211</v>
      </c>
      <c r="D4237" t="inlineStr">
        <is>
          <t>ÖSTERGÖTLANDS LÄN</t>
        </is>
      </c>
      <c r="E4237" t="inlineStr">
        <is>
          <t>FINSPÅNG</t>
        </is>
      </c>
      <c r="G4237" t="n">
        <v>0.7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s="2" t="inlineStr"/>
    </row>
    <row r="4238" ht="15" customHeight="1">
      <c r="A4238" t="inlineStr">
        <is>
          <t>A 27737-2022</t>
        </is>
      </c>
      <c r="B4238" s="1" t="n">
        <v>44743</v>
      </c>
      <c r="C4238" s="1" t="n">
        <v>45211</v>
      </c>
      <c r="D4238" t="inlineStr">
        <is>
          <t>ÖSTERGÖTLANDS LÄN</t>
        </is>
      </c>
      <c r="E4238" t="inlineStr">
        <is>
          <t>YDRE</t>
        </is>
      </c>
      <c r="G4238" t="n">
        <v>1.1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s="2" t="inlineStr"/>
    </row>
    <row r="4239" ht="15" customHeight="1">
      <c r="A4239" t="inlineStr">
        <is>
          <t>A 27744-2022</t>
        </is>
      </c>
      <c r="B4239" s="1" t="n">
        <v>44743</v>
      </c>
      <c r="C4239" s="1" t="n">
        <v>45211</v>
      </c>
      <c r="D4239" t="inlineStr">
        <is>
          <t>ÖSTERGÖTLANDS LÄN</t>
        </is>
      </c>
      <c r="E4239" t="inlineStr">
        <is>
          <t>YDRE</t>
        </is>
      </c>
      <c r="G4239" t="n">
        <v>2.2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s="2" t="inlineStr"/>
    </row>
    <row r="4240" ht="15" customHeight="1">
      <c r="A4240" t="inlineStr">
        <is>
          <t>A 27978-2022</t>
        </is>
      </c>
      <c r="B4240" s="1" t="n">
        <v>44745</v>
      </c>
      <c r="C4240" s="1" t="n">
        <v>45211</v>
      </c>
      <c r="D4240" t="inlineStr">
        <is>
          <t>ÖSTERGÖTLANDS LÄN</t>
        </is>
      </c>
      <c r="E4240" t="inlineStr">
        <is>
          <t>ÅTVIDABERG</t>
        </is>
      </c>
      <c r="G4240" t="n">
        <v>1.4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s="2" t="inlineStr"/>
    </row>
    <row r="4241" ht="15" customHeight="1">
      <c r="A4241" t="inlineStr">
        <is>
          <t>A 27977-2022</t>
        </is>
      </c>
      <c r="B4241" s="1" t="n">
        <v>44745</v>
      </c>
      <c r="C4241" s="1" t="n">
        <v>45211</v>
      </c>
      <c r="D4241" t="inlineStr">
        <is>
          <t>ÖSTERGÖTLANDS LÄN</t>
        </is>
      </c>
      <c r="E4241" t="inlineStr">
        <is>
          <t>ÅTVIDABERG</t>
        </is>
      </c>
      <c r="G4241" t="n">
        <v>1.8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s="2" t="inlineStr"/>
    </row>
    <row r="4242" ht="15" customHeight="1">
      <c r="A4242" t="inlineStr">
        <is>
          <t>A 28076-2022</t>
        </is>
      </c>
      <c r="B4242" s="1" t="n">
        <v>44746</v>
      </c>
      <c r="C4242" s="1" t="n">
        <v>45211</v>
      </c>
      <c r="D4242" t="inlineStr">
        <is>
          <t>ÖSTERGÖTLANDS LÄN</t>
        </is>
      </c>
      <c r="E4242" t="inlineStr">
        <is>
          <t>NORRKÖPING</t>
        </is>
      </c>
      <c r="G4242" t="n">
        <v>1.4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s="2" t="inlineStr"/>
    </row>
    <row r="4243" ht="15" customHeight="1">
      <c r="A4243" t="inlineStr">
        <is>
          <t>A 28062-2022</t>
        </is>
      </c>
      <c r="B4243" s="1" t="n">
        <v>44746</v>
      </c>
      <c r="C4243" s="1" t="n">
        <v>45211</v>
      </c>
      <c r="D4243" t="inlineStr">
        <is>
          <t>ÖSTERGÖTLANDS LÄN</t>
        </is>
      </c>
      <c r="E4243" t="inlineStr">
        <is>
          <t>NORRKÖPING</t>
        </is>
      </c>
      <c r="G4243" t="n">
        <v>3.6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s="2" t="inlineStr"/>
    </row>
    <row r="4244" ht="15" customHeight="1">
      <c r="A4244" t="inlineStr">
        <is>
          <t>A 28395-2022</t>
        </is>
      </c>
      <c r="B4244" s="1" t="n">
        <v>44747</v>
      </c>
      <c r="C4244" s="1" t="n">
        <v>45211</v>
      </c>
      <c r="D4244" t="inlineStr">
        <is>
          <t>ÖSTERGÖTLANDS LÄN</t>
        </is>
      </c>
      <c r="E4244" t="inlineStr">
        <is>
          <t>MOTALA</t>
        </is>
      </c>
      <c r="G4244" t="n">
        <v>8.300000000000001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s="2" t="inlineStr"/>
    </row>
    <row r="4245" ht="15" customHeight="1">
      <c r="A4245" t="inlineStr">
        <is>
          <t>A 28603-2022</t>
        </is>
      </c>
      <c r="B4245" s="1" t="n">
        <v>44748</v>
      </c>
      <c r="C4245" s="1" t="n">
        <v>45211</v>
      </c>
      <c r="D4245" t="inlineStr">
        <is>
          <t>ÖSTERGÖTLANDS LÄN</t>
        </is>
      </c>
      <c r="E4245" t="inlineStr">
        <is>
          <t>LINKÖPING</t>
        </is>
      </c>
      <c r="G4245" t="n">
        <v>2.8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s="2" t="inlineStr"/>
    </row>
    <row r="4246" ht="15" customHeight="1">
      <c r="A4246" t="inlineStr">
        <is>
          <t>A 28634-2022</t>
        </is>
      </c>
      <c r="B4246" s="1" t="n">
        <v>44748</v>
      </c>
      <c r="C4246" s="1" t="n">
        <v>45211</v>
      </c>
      <c r="D4246" t="inlineStr">
        <is>
          <t>ÖSTERGÖTLANDS LÄN</t>
        </is>
      </c>
      <c r="E4246" t="inlineStr">
        <is>
          <t>LINKÖPING</t>
        </is>
      </c>
      <c r="G4246" t="n">
        <v>8.300000000000001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s="2" t="inlineStr"/>
    </row>
    <row r="4247" ht="15" customHeight="1">
      <c r="A4247" t="inlineStr">
        <is>
          <t>A 28686-2022</t>
        </is>
      </c>
      <c r="B4247" s="1" t="n">
        <v>44748</v>
      </c>
      <c r="C4247" s="1" t="n">
        <v>45211</v>
      </c>
      <c r="D4247" t="inlineStr">
        <is>
          <t>ÖSTERGÖTLANDS LÄN</t>
        </is>
      </c>
      <c r="E4247" t="inlineStr">
        <is>
          <t>MOTALA</t>
        </is>
      </c>
      <c r="G4247" t="n">
        <v>1.5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s="2" t="inlineStr"/>
    </row>
    <row r="4248" ht="15" customHeight="1">
      <c r="A4248" t="inlineStr">
        <is>
          <t>A 28595-2022</t>
        </is>
      </c>
      <c r="B4248" s="1" t="n">
        <v>44748</v>
      </c>
      <c r="C4248" s="1" t="n">
        <v>45211</v>
      </c>
      <c r="D4248" t="inlineStr">
        <is>
          <t>ÖSTERGÖTLANDS LÄN</t>
        </is>
      </c>
      <c r="E4248" t="inlineStr">
        <is>
          <t>LINKÖPING</t>
        </is>
      </c>
      <c r="G4248" t="n">
        <v>1.7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s="2" t="inlineStr"/>
    </row>
    <row r="4249" ht="15" customHeight="1">
      <c r="A4249" t="inlineStr">
        <is>
          <t>A 28991-2022</t>
        </is>
      </c>
      <c r="B4249" s="1" t="n">
        <v>44749</v>
      </c>
      <c r="C4249" s="1" t="n">
        <v>45211</v>
      </c>
      <c r="D4249" t="inlineStr">
        <is>
          <t>ÖSTERGÖTLANDS LÄN</t>
        </is>
      </c>
      <c r="E4249" t="inlineStr">
        <is>
          <t>YDRE</t>
        </is>
      </c>
      <c r="G4249" t="n">
        <v>5.6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s="2" t="inlineStr"/>
    </row>
    <row r="4250" ht="15" customHeight="1">
      <c r="A4250" t="inlineStr">
        <is>
          <t>A 28997-2022</t>
        </is>
      </c>
      <c r="B4250" s="1" t="n">
        <v>44749</v>
      </c>
      <c r="C4250" s="1" t="n">
        <v>45211</v>
      </c>
      <c r="D4250" t="inlineStr">
        <is>
          <t>ÖSTERGÖTLANDS LÄN</t>
        </is>
      </c>
      <c r="E4250" t="inlineStr">
        <is>
          <t>VALDEMARSVIK</t>
        </is>
      </c>
      <c r="G4250" t="n">
        <v>6.6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s="2" t="inlineStr"/>
    </row>
    <row r="4251" ht="15" customHeight="1">
      <c r="A4251" t="inlineStr">
        <is>
          <t>A 29078-2022</t>
        </is>
      </c>
      <c r="B4251" s="1" t="n">
        <v>44749</v>
      </c>
      <c r="C4251" s="1" t="n">
        <v>45211</v>
      </c>
      <c r="D4251" t="inlineStr">
        <is>
          <t>ÖSTERGÖTLANDS LÄN</t>
        </is>
      </c>
      <c r="E4251" t="inlineStr">
        <is>
          <t>FINSPÅNG</t>
        </is>
      </c>
      <c r="G4251" t="n">
        <v>1.1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s="2" t="inlineStr"/>
    </row>
    <row r="4252" ht="15" customHeight="1">
      <c r="A4252" t="inlineStr">
        <is>
          <t>A 29254-2022</t>
        </is>
      </c>
      <c r="B4252" s="1" t="n">
        <v>44750</v>
      </c>
      <c r="C4252" s="1" t="n">
        <v>45211</v>
      </c>
      <c r="D4252" t="inlineStr">
        <is>
          <t>ÖSTERGÖTLANDS LÄN</t>
        </is>
      </c>
      <c r="E4252" t="inlineStr">
        <is>
          <t>LINKÖPING</t>
        </is>
      </c>
      <c r="G4252" t="n">
        <v>2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s="2" t="inlineStr"/>
    </row>
    <row r="4253" ht="15" customHeight="1">
      <c r="A4253" t="inlineStr">
        <is>
          <t>A 29179-2022</t>
        </is>
      </c>
      <c r="B4253" s="1" t="n">
        <v>44750</v>
      </c>
      <c r="C4253" s="1" t="n">
        <v>45211</v>
      </c>
      <c r="D4253" t="inlineStr">
        <is>
          <t>ÖSTERGÖTLANDS LÄN</t>
        </is>
      </c>
      <c r="E4253" t="inlineStr">
        <is>
          <t>BOXHOLM</t>
        </is>
      </c>
      <c r="G4253" t="n">
        <v>1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s="2" t="inlineStr"/>
    </row>
    <row r="4254" ht="15" customHeight="1">
      <c r="A4254" t="inlineStr">
        <is>
          <t>A 29269-2022</t>
        </is>
      </c>
      <c r="B4254" s="1" t="n">
        <v>44750</v>
      </c>
      <c r="C4254" s="1" t="n">
        <v>45211</v>
      </c>
      <c r="D4254" t="inlineStr">
        <is>
          <t>ÖSTERGÖTLANDS LÄN</t>
        </is>
      </c>
      <c r="E4254" t="inlineStr">
        <is>
          <t>ÖDESHÖG</t>
        </is>
      </c>
      <c r="G4254" t="n">
        <v>2.7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s="2" t="inlineStr"/>
    </row>
    <row r="4255" ht="15" customHeight="1">
      <c r="A4255" t="inlineStr">
        <is>
          <t>A 29472-2022</t>
        </is>
      </c>
      <c r="B4255" s="1" t="n">
        <v>44753</v>
      </c>
      <c r="C4255" s="1" t="n">
        <v>45211</v>
      </c>
      <c r="D4255" t="inlineStr">
        <is>
          <t>ÖSTERGÖTLANDS LÄN</t>
        </is>
      </c>
      <c r="E4255" t="inlineStr">
        <is>
          <t>FINSPÅNG</t>
        </is>
      </c>
      <c r="G4255" t="n">
        <v>8.300000000000001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s="2" t="inlineStr"/>
    </row>
    <row r="4256" ht="15" customHeight="1">
      <c r="A4256" t="inlineStr">
        <is>
          <t>A 29381-2022</t>
        </is>
      </c>
      <c r="B4256" s="1" t="n">
        <v>44753</v>
      </c>
      <c r="C4256" s="1" t="n">
        <v>45211</v>
      </c>
      <c r="D4256" t="inlineStr">
        <is>
          <t>ÖSTERGÖTLANDS LÄN</t>
        </is>
      </c>
      <c r="E4256" t="inlineStr">
        <is>
          <t>VALDEMARSVIK</t>
        </is>
      </c>
      <c r="G4256" t="n">
        <v>21.5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s="2" t="inlineStr"/>
    </row>
    <row r="4257" ht="15" customHeight="1">
      <c r="A4257" t="inlineStr">
        <is>
          <t>A 29470-2022</t>
        </is>
      </c>
      <c r="B4257" s="1" t="n">
        <v>44753</v>
      </c>
      <c r="C4257" s="1" t="n">
        <v>45211</v>
      </c>
      <c r="D4257" t="inlineStr">
        <is>
          <t>ÖSTERGÖTLANDS LÄN</t>
        </is>
      </c>
      <c r="E4257" t="inlineStr">
        <is>
          <t>LINKÖPING</t>
        </is>
      </c>
      <c r="F4257" t="inlineStr">
        <is>
          <t>Sveaskog</t>
        </is>
      </c>
      <c r="G4257" t="n">
        <v>1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s="2" t="inlineStr"/>
    </row>
    <row r="4258" ht="15" customHeight="1">
      <c r="A4258" t="inlineStr">
        <is>
          <t>A 29424-2022</t>
        </is>
      </c>
      <c r="B4258" s="1" t="n">
        <v>44753</v>
      </c>
      <c r="C4258" s="1" t="n">
        <v>45211</v>
      </c>
      <c r="D4258" t="inlineStr">
        <is>
          <t>ÖSTERGÖTLANDS LÄN</t>
        </is>
      </c>
      <c r="E4258" t="inlineStr">
        <is>
          <t>VALDEMARSVIK</t>
        </is>
      </c>
      <c r="G4258" t="n">
        <v>5.4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s="2" t="inlineStr"/>
    </row>
    <row r="4259" ht="15" customHeight="1">
      <c r="A4259" t="inlineStr">
        <is>
          <t>A 29648-2022</t>
        </is>
      </c>
      <c r="B4259" s="1" t="n">
        <v>44754</v>
      </c>
      <c r="C4259" s="1" t="n">
        <v>45211</v>
      </c>
      <c r="D4259" t="inlineStr">
        <is>
          <t>ÖSTERGÖTLANDS LÄN</t>
        </is>
      </c>
      <c r="E4259" t="inlineStr">
        <is>
          <t>NORRKÖPING</t>
        </is>
      </c>
      <c r="F4259" t="inlineStr">
        <is>
          <t>Allmännings- och besparingsskogar</t>
        </is>
      </c>
      <c r="G4259" t="n">
        <v>0.9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s="2" t="inlineStr"/>
    </row>
    <row r="4260" ht="15" customHeight="1">
      <c r="A4260" t="inlineStr">
        <is>
          <t>A 29743-2022</t>
        </is>
      </c>
      <c r="B4260" s="1" t="n">
        <v>44755</v>
      </c>
      <c r="C4260" s="1" t="n">
        <v>45211</v>
      </c>
      <c r="D4260" t="inlineStr">
        <is>
          <t>ÖSTERGÖTLANDS LÄN</t>
        </is>
      </c>
      <c r="E4260" t="inlineStr">
        <is>
          <t>MOTALA</t>
        </is>
      </c>
      <c r="G4260" t="n">
        <v>4.1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s="2" t="inlineStr"/>
    </row>
    <row r="4261" ht="15" customHeight="1">
      <c r="A4261" t="inlineStr">
        <is>
          <t>A 29798-2022</t>
        </is>
      </c>
      <c r="B4261" s="1" t="n">
        <v>44755</v>
      </c>
      <c r="C4261" s="1" t="n">
        <v>45211</v>
      </c>
      <c r="D4261" t="inlineStr">
        <is>
          <t>ÖSTERGÖTLANDS LÄN</t>
        </is>
      </c>
      <c r="E4261" t="inlineStr">
        <is>
          <t>FINSPÅNG</t>
        </is>
      </c>
      <c r="F4261" t="inlineStr">
        <is>
          <t>Holmen skog AB</t>
        </is>
      </c>
      <c r="G4261" t="n">
        <v>2.3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s="2" t="inlineStr"/>
    </row>
    <row r="4262" ht="15" customHeight="1">
      <c r="A4262" t="inlineStr">
        <is>
          <t>A 30056-2022</t>
        </is>
      </c>
      <c r="B4262" s="1" t="n">
        <v>44756</v>
      </c>
      <c r="C4262" s="1" t="n">
        <v>45211</v>
      </c>
      <c r="D4262" t="inlineStr">
        <is>
          <t>ÖSTERGÖTLANDS LÄN</t>
        </is>
      </c>
      <c r="E4262" t="inlineStr">
        <is>
          <t>NORRKÖPING</t>
        </is>
      </c>
      <c r="G4262" t="n">
        <v>1.4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s="2" t="inlineStr"/>
    </row>
    <row r="4263" ht="15" customHeight="1">
      <c r="A4263" t="inlineStr">
        <is>
          <t>A 30321-2022</t>
        </is>
      </c>
      <c r="B4263" s="1" t="n">
        <v>44760</v>
      </c>
      <c r="C4263" s="1" t="n">
        <v>45211</v>
      </c>
      <c r="D4263" t="inlineStr">
        <is>
          <t>ÖSTERGÖTLANDS LÄN</t>
        </is>
      </c>
      <c r="E4263" t="inlineStr">
        <is>
          <t>ÅTVIDABERG</t>
        </is>
      </c>
      <c r="G4263" t="n">
        <v>1.5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s="2" t="inlineStr"/>
    </row>
    <row r="4264" ht="15" customHeight="1">
      <c r="A4264" t="inlineStr">
        <is>
          <t>A 30438-2022</t>
        </is>
      </c>
      <c r="B4264" s="1" t="n">
        <v>44761</v>
      </c>
      <c r="C4264" s="1" t="n">
        <v>45211</v>
      </c>
      <c r="D4264" t="inlineStr">
        <is>
          <t>ÖSTERGÖTLANDS LÄN</t>
        </is>
      </c>
      <c r="E4264" t="inlineStr">
        <is>
          <t>SÖDERKÖPING</t>
        </is>
      </c>
      <c r="G4264" t="n">
        <v>2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s="2" t="inlineStr"/>
    </row>
    <row r="4265" ht="15" customHeight="1">
      <c r="A4265" t="inlineStr">
        <is>
          <t>A 30733-2022</t>
        </is>
      </c>
      <c r="B4265" s="1" t="n">
        <v>44764</v>
      </c>
      <c r="C4265" s="1" t="n">
        <v>45211</v>
      </c>
      <c r="D4265" t="inlineStr">
        <is>
          <t>ÖSTERGÖTLANDS LÄN</t>
        </is>
      </c>
      <c r="E4265" t="inlineStr">
        <is>
          <t>FINSPÅNG</t>
        </is>
      </c>
      <c r="F4265" t="inlineStr">
        <is>
          <t>Holmen skog AB</t>
        </is>
      </c>
      <c r="G4265" t="n">
        <v>1.7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s="2" t="inlineStr"/>
    </row>
    <row r="4266" ht="15" customHeight="1">
      <c r="A4266" t="inlineStr">
        <is>
          <t>A 30801-2022</t>
        </is>
      </c>
      <c r="B4266" s="1" t="n">
        <v>44764</v>
      </c>
      <c r="C4266" s="1" t="n">
        <v>45211</v>
      </c>
      <c r="D4266" t="inlineStr">
        <is>
          <t>ÖSTERGÖTLANDS LÄN</t>
        </is>
      </c>
      <c r="E4266" t="inlineStr">
        <is>
          <t>LINKÖPING</t>
        </is>
      </c>
      <c r="G4266" t="n">
        <v>1.1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s="2" t="inlineStr"/>
    </row>
    <row r="4267" ht="15" customHeight="1">
      <c r="A4267" t="inlineStr">
        <is>
          <t>A 30834-2022</t>
        </is>
      </c>
      <c r="B4267" s="1" t="n">
        <v>44767</v>
      </c>
      <c r="C4267" s="1" t="n">
        <v>45211</v>
      </c>
      <c r="D4267" t="inlineStr">
        <is>
          <t>ÖSTERGÖTLANDS LÄN</t>
        </is>
      </c>
      <c r="E4267" t="inlineStr">
        <is>
          <t>NORRKÖPING</t>
        </is>
      </c>
      <c r="G4267" t="n">
        <v>3.2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s="2" t="inlineStr"/>
    </row>
    <row r="4268" ht="15" customHeight="1">
      <c r="A4268" t="inlineStr">
        <is>
          <t>A 30922-2022</t>
        </is>
      </c>
      <c r="B4268" s="1" t="n">
        <v>44767</v>
      </c>
      <c r="C4268" s="1" t="n">
        <v>45211</v>
      </c>
      <c r="D4268" t="inlineStr">
        <is>
          <t>ÖSTERGÖTLANDS LÄN</t>
        </is>
      </c>
      <c r="E4268" t="inlineStr">
        <is>
          <t>FINSPÅNG</t>
        </is>
      </c>
      <c r="G4268" t="n">
        <v>10.6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s="2" t="inlineStr"/>
    </row>
    <row r="4269" ht="15" customHeight="1">
      <c r="A4269" t="inlineStr">
        <is>
          <t>A 30855-2022</t>
        </is>
      </c>
      <c r="B4269" s="1" t="n">
        <v>44767</v>
      </c>
      <c r="C4269" s="1" t="n">
        <v>45211</v>
      </c>
      <c r="D4269" t="inlineStr">
        <is>
          <t>ÖSTERGÖTLANDS LÄN</t>
        </is>
      </c>
      <c r="E4269" t="inlineStr">
        <is>
          <t>LINKÖPING</t>
        </is>
      </c>
      <c r="G4269" t="n">
        <v>2.2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s="2" t="inlineStr"/>
    </row>
    <row r="4270" ht="15" customHeight="1">
      <c r="A4270" t="inlineStr">
        <is>
          <t>A 30858-2022</t>
        </is>
      </c>
      <c r="B4270" s="1" t="n">
        <v>44767</v>
      </c>
      <c r="C4270" s="1" t="n">
        <v>45211</v>
      </c>
      <c r="D4270" t="inlineStr">
        <is>
          <t>ÖSTERGÖTLANDS LÄN</t>
        </is>
      </c>
      <c r="E4270" t="inlineStr">
        <is>
          <t>LINKÖPING</t>
        </is>
      </c>
      <c r="G4270" t="n">
        <v>0.5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s="2" t="inlineStr"/>
    </row>
    <row r="4271" ht="15" customHeight="1">
      <c r="A4271" t="inlineStr">
        <is>
          <t>A 30856-2022</t>
        </is>
      </c>
      <c r="B4271" s="1" t="n">
        <v>44767</v>
      </c>
      <c r="C4271" s="1" t="n">
        <v>45211</v>
      </c>
      <c r="D4271" t="inlineStr">
        <is>
          <t>ÖSTERGÖTLANDS LÄN</t>
        </is>
      </c>
      <c r="E4271" t="inlineStr">
        <is>
          <t>LINKÖPING</t>
        </is>
      </c>
      <c r="G4271" t="n">
        <v>0.8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s="2" t="inlineStr"/>
    </row>
    <row r="4272" ht="15" customHeight="1">
      <c r="A4272" t="inlineStr">
        <is>
          <t>A 30860-2022</t>
        </is>
      </c>
      <c r="B4272" s="1" t="n">
        <v>44767</v>
      </c>
      <c r="C4272" s="1" t="n">
        <v>45211</v>
      </c>
      <c r="D4272" t="inlineStr">
        <is>
          <t>ÖSTERGÖTLANDS LÄN</t>
        </is>
      </c>
      <c r="E4272" t="inlineStr">
        <is>
          <t>LINKÖPING</t>
        </is>
      </c>
      <c r="G4272" t="n">
        <v>0.8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s="2" t="inlineStr"/>
    </row>
    <row r="4273" ht="15" customHeight="1">
      <c r="A4273" t="inlineStr">
        <is>
          <t>A 30891-2022</t>
        </is>
      </c>
      <c r="B4273" s="1" t="n">
        <v>44767</v>
      </c>
      <c r="C4273" s="1" t="n">
        <v>45211</v>
      </c>
      <c r="D4273" t="inlineStr">
        <is>
          <t>ÖSTERGÖTLANDS LÄN</t>
        </is>
      </c>
      <c r="E4273" t="inlineStr">
        <is>
          <t>ÅTVIDABERG</t>
        </is>
      </c>
      <c r="G4273" t="n">
        <v>1.9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s="2" t="inlineStr"/>
    </row>
    <row r="4274" ht="15" customHeight="1">
      <c r="A4274" t="inlineStr">
        <is>
          <t>A 30976-2022</t>
        </is>
      </c>
      <c r="B4274" s="1" t="n">
        <v>44768</v>
      </c>
      <c r="C4274" s="1" t="n">
        <v>45211</v>
      </c>
      <c r="D4274" t="inlineStr">
        <is>
          <t>ÖSTERGÖTLANDS LÄN</t>
        </is>
      </c>
      <c r="E4274" t="inlineStr">
        <is>
          <t>LINKÖPING</t>
        </is>
      </c>
      <c r="G4274" t="n">
        <v>0.6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s="2" t="inlineStr"/>
    </row>
    <row r="4275" ht="15" customHeight="1">
      <c r="A4275" t="inlineStr">
        <is>
          <t>A 30985-2022</t>
        </is>
      </c>
      <c r="B4275" s="1" t="n">
        <v>44768</v>
      </c>
      <c r="C4275" s="1" t="n">
        <v>45211</v>
      </c>
      <c r="D4275" t="inlineStr">
        <is>
          <t>ÖSTERGÖTLANDS LÄN</t>
        </is>
      </c>
      <c r="E4275" t="inlineStr">
        <is>
          <t>LINKÖPING</t>
        </is>
      </c>
      <c r="G4275" t="n">
        <v>1.1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s="2" t="inlineStr"/>
    </row>
    <row r="4276" ht="15" customHeight="1">
      <c r="A4276" t="inlineStr">
        <is>
          <t>A 30980-2022</t>
        </is>
      </c>
      <c r="B4276" s="1" t="n">
        <v>44768</v>
      </c>
      <c r="C4276" s="1" t="n">
        <v>45211</v>
      </c>
      <c r="D4276" t="inlineStr">
        <is>
          <t>ÖSTERGÖTLANDS LÄN</t>
        </is>
      </c>
      <c r="E4276" t="inlineStr">
        <is>
          <t>LINKÖPING</t>
        </is>
      </c>
      <c r="G4276" t="n">
        <v>0.9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s="2" t="inlineStr"/>
    </row>
    <row r="4277" ht="15" customHeight="1">
      <c r="A4277" t="inlineStr">
        <is>
          <t>A 30970-2022</t>
        </is>
      </c>
      <c r="B4277" s="1" t="n">
        <v>44768</v>
      </c>
      <c r="C4277" s="1" t="n">
        <v>45211</v>
      </c>
      <c r="D4277" t="inlineStr">
        <is>
          <t>ÖSTERGÖTLANDS LÄN</t>
        </is>
      </c>
      <c r="E4277" t="inlineStr">
        <is>
          <t>ÅTVIDABERG</t>
        </is>
      </c>
      <c r="F4277" t="inlineStr">
        <is>
          <t>Övriga statliga verk och myndigheter</t>
        </is>
      </c>
      <c r="G4277" t="n">
        <v>7.2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s="2" t="inlineStr"/>
    </row>
    <row r="4278" ht="15" customHeight="1">
      <c r="A4278" t="inlineStr">
        <is>
          <t>A 31010-2022</t>
        </is>
      </c>
      <c r="B4278" s="1" t="n">
        <v>44768</v>
      </c>
      <c r="C4278" s="1" t="n">
        <v>45211</v>
      </c>
      <c r="D4278" t="inlineStr">
        <is>
          <t>ÖSTERGÖTLANDS LÄN</t>
        </is>
      </c>
      <c r="E4278" t="inlineStr">
        <is>
          <t>MJÖLBY</t>
        </is>
      </c>
      <c r="G4278" t="n">
        <v>1.7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s="2" t="inlineStr"/>
    </row>
    <row r="4279" ht="15" customHeight="1">
      <c r="A4279" t="inlineStr">
        <is>
          <t>A 31127-2022</t>
        </is>
      </c>
      <c r="B4279" s="1" t="n">
        <v>44770</v>
      </c>
      <c r="C4279" s="1" t="n">
        <v>45211</v>
      </c>
      <c r="D4279" t="inlineStr">
        <is>
          <t>ÖSTERGÖTLANDS LÄN</t>
        </is>
      </c>
      <c r="E4279" t="inlineStr">
        <is>
          <t>ÅTVIDABERG</t>
        </is>
      </c>
      <c r="G4279" t="n">
        <v>2.4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s="2" t="inlineStr"/>
    </row>
    <row r="4280" ht="15" customHeight="1">
      <c r="A4280" t="inlineStr">
        <is>
          <t>A 31323-2022</t>
        </is>
      </c>
      <c r="B4280" s="1" t="n">
        <v>44774</v>
      </c>
      <c r="C4280" s="1" t="n">
        <v>45211</v>
      </c>
      <c r="D4280" t="inlineStr">
        <is>
          <t>ÖSTERGÖTLANDS LÄN</t>
        </is>
      </c>
      <c r="E4280" t="inlineStr">
        <is>
          <t>FINSPÅNG</t>
        </is>
      </c>
      <c r="F4280" t="inlineStr">
        <is>
          <t>Holmen skog AB</t>
        </is>
      </c>
      <c r="G4280" t="n">
        <v>2.5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s="2" t="inlineStr"/>
    </row>
    <row r="4281" ht="15" customHeight="1">
      <c r="A4281" t="inlineStr">
        <is>
          <t>A 31330-2022</t>
        </is>
      </c>
      <c r="B4281" s="1" t="n">
        <v>44774</v>
      </c>
      <c r="C4281" s="1" t="n">
        <v>45211</v>
      </c>
      <c r="D4281" t="inlineStr">
        <is>
          <t>ÖSTERGÖTLANDS LÄN</t>
        </is>
      </c>
      <c r="E4281" t="inlineStr">
        <is>
          <t>FINSPÅNG</t>
        </is>
      </c>
      <c r="F4281" t="inlineStr">
        <is>
          <t>Holmen skog AB</t>
        </is>
      </c>
      <c r="G4281" t="n">
        <v>2.3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s="2" t="inlineStr"/>
    </row>
    <row r="4282" ht="15" customHeight="1">
      <c r="A4282" t="inlineStr">
        <is>
          <t>A 31425-2022</t>
        </is>
      </c>
      <c r="B4282" s="1" t="n">
        <v>44774</v>
      </c>
      <c r="C4282" s="1" t="n">
        <v>45211</v>
      </c>
      <c r="D4282" t="inlineStr">
        <is>
          <t>ÖSTERGÖTLANDS LÄN</t>
        </is>
      </c>
      <c r="E4282" t="inlineStr">
        <is>
          <t>ÅTVIDABERG</t>
        </is>
      </c>
      <c r="G4282" t="n">
        <v>1.6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s="2" t="inlineStr"/>
    </row>
    <row r="4283" ht="15" customHeight="1">
      <c r="A4283" t="inlineStr">
        <is>
          <t>A 31393-2022</t>
        </is>
      </c>
      <c r="B4283" s="1" t="n">
        <v>44774</v>
      </c>
      <c r="C4283" s="1" t="n">
        <v>45211</v>
      </c>
      <c r="D4283" t="inlineStr">
        <is>
          <t>ÖSTERGÖTLANDS LÄN</t>
        </is>
      </c>
      <c r="E4283" t="inlineStr">
        <is>
          <t>FINSPÅNG</t>
        </is>
      </c>
      <c r="F4283" t="inlineStr">
        <is>
          <t>Holmen skog AB</t>
        </is>
      </c>
      <c r="G4283" t="n">
        <v>0.4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s="2" t="inlineStr"/>
    </row>
    <row r="4284" ht="15" customHeight="1">
      <c r="A4284" t="inlineStr">
        <is>
          <t>A 31628-2022</t>
        </is>
      </c>
      <c r="B4284" s="1" t="n">
        <v>44775</v>
      </c>
      <c r="C4284" s="1" t="n">
        <v>45211</v>
      </c>
      <c r="D4284" t="inlineStr">
        <is>
          <t>ÖSTERGÖTLANDS LÄN</t>
        </is>
      </c>
      <c r="E4284" t="inlineStr">
        <is>
          <t>SÖDERKÖPING</t>
        </is>
      </c>
      <c r="G4284" t="n">
        <v>1.5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s="2" t="inlineStr"/>
    </row>
    <row r="4285" ht="15" customHeight="1">
      <c r="A4285" t="inlineStr">
        <is>
          <t>A 31703-2022</t>
        </is>
      </c>
      <c r="B4285" s="1" t="n">
        <v>44776</v>
      </c>
      <c r="C4285" s="1" t="n">
        <v>45211</v>
      </c>
      <c r="D4285" t="inlineStr">
        <is>
          <t>ÖSTERGÖTLANDS LÄN</t>
        </is>
      </c>
      <c r="E4285" t="inlineStr">
        <is>
          <t>LINKÖPING</t>
        </is>
      </c>
      <c r="G4285" t="n">
        <v>1.4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s="2" t="inlineStr"/>
    </row>
    <row r="4286" ht="15" customHeight="1">
      <c r="A4286" t="inlineStr">
        <is>
          <t>A 31744-2022</t>
        </is>
      </c>
      <c r="B4286" s="1" t="n">
        <v>44776</v>
      </c>
      <c r="C4286" s="1" t="n">
        <v>45211</v>
      </c>
      <c r="D4286" t="inlineStr">
        <is>
          <t>ÖSTERGÖTLANDS LÄN</t>
        </is>
      </c>
      <c r="E4286" t="inlineStr">
        <is>
          <t>MOTALA</t>
        </is>
      </c>
      <c r="G4286" t="n">
        <v>6.3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s="2" t="inlineStr"/>
    </row>
    <row r="4287" ht="15" customHeight="1">
      <c r="A4287" t="inlineStr">
        <is>
          <t>A 31817-2022</t>
        </is>
      </c>
      <c r="B4287" s="1" t="n">
        <v>44776</v>
      </c>
      <c r="C4287" s="1" t="n">
        <v>45211</v>
      </c>
      <c r="D4287" t="inlineStr">
        <is>
          <t>ÖSTERGÖTLANDS LÄN</t>
        </is>
      </c>
      <c r="E4287" t="inlineStr">
        <is>
          <t>KINDA</t>
        </is>
      </c>
      <c r="G4287" t="n">
        <v>1.5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s="2" t="inlineStr"/>
    </row>
    <row r="4288" ht="15" customHeight="1">
      <c r="A4288" t="inlineStr">
        <is>
          <t>A 31683-2022</t>
        </is>
      </c>
      <c r="B4288" s="1" t="n">
        <v>44776</v>
      </c>
      <c r="C4288" s="1" t="n">
        <v>45211</v>
      </c>
      <c r="D4288" t="inlineStr">
        <is>
          <t>ÖSTERGÖTLANDS LÄN</t>
        </is>
      </c>
      <c r="E4288" t="inlineStr">
        <is>
          <t>MOTALA</t>
        </is>
      </c>
      <c r="G4288" t="n">
        <v>5.2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s="2" t="inlineStr"/>
    </row>
    <row r="4289" ht="15" customHeight="1">
      <c r="A4289" t="inlineStr">
        <is>
          <t>A 31692-2022</t>
        </is>
      </c>
      <c r="B4289" s="1" t="n">
        <v>44776</v>
      </c>
      <c r="C4289" s="1" t="n">
        <v>45211</v>
      </c>
      <c r="D4289" t="inlineStr">
        <is>
          <t>ÖSTERGÖTLANDS LÄN</t>
        </is>
      </c>
      <c r="E4289" t="inlineStr">
        <is>
          <t>LINKÖPING</t>
        </is>
      </c>
      <c r="G4289" t="n">
        <v>3.9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s="2" t="inlineStr"/>
    </row>
    <row r="4290" ht="15" customHeight="1">
      <c r="A4290" t="inlineStr">
        <is>
          <t>A 31753-2022</t>
        </is>
      </c>
      <c r="B4290" s="1" t="n">
        <v>44776</v>
      </c>
      <c r="C4290" s="1" t="n">
        <v>45211</v>
      </c>
      <c r="D4290" t="inlineStr">
        <is>
          <t>ÖSTERGÖTLANDS LÄN</t>
        </is>
      </c>
      <c r="E4290" t="inlineStr">
        <is>
          <t>MOTALA</t>
        </is>
      </c>
      <c r="G4290" t="n">
        <v>6.4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s="2" t="inlineStr"/>
    </row>
    <row r="4291" ht="15" customHeight="1">
      <c r="A4291" t="inlineStr">
        <is>
          <t>A 31811-2022</t>
        </is>
      </c>
      <c r="B4291" s="1" t="n">
        <v>44776</v>
      </c>
      <c r="C4291" s="1" t="n">
        <v>45211</v>
      </c>
      <c r="D4291" t="inlineStr">
        <is>
          <t>ÖSTERGÖTLANDS LÄN</t>
        </is>
      </c>
      <c r="E4291" t="inlineStr">
        <is>
          <t>FINSPÅNG</t>
        </is>
      </c>
      <c r="G4291" t="n">
        <v>0.6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s="2" t="inlineStr"/>
    </row>
    <row r="4292" ht="15" customHeight="1">
      <c r="A4292" t="inlineStr">
        <is>
          <t>A 32000-2022</t>
        </is>
      </c>
      <c r="B4292" s="1" t="n">
        <v>44777</v>
      </c>
      <c r="C4292" s="1" t="n">
        <v>45211</v>
      </c>
      <c r="D4292" t="inlineStr">
        <is>
          <t>ÖSTERGÖTLANDS LÄN</t>
        </is>
      </c>
      <c r="E4292" t="inlineStr">
        <is>
          <t>LINKÖPING</t>
        </is>
      </c>
      <c r="G4292" t="n">
        <v>1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s="2" t="inlineStr"/>
    </row>
    <row r="4293" ht="15" customHeight="1">
      <c r="A4293" t="inlineStr">
        <is>
          <t>A 31929-2022</t>
        </is>
      </c>
      <c r="B4293" s="1" t="n">
        <v>44777</v>
      </c>
      <c r="C4293" s="1" t="n">
        <v>45211</v>
      </c>
      <c r="D4293" t="inlineStr">
        <is>
          <t>ÖSTERGÖTLANDS LÄN</t>
        </is>
      </c>
      <c r="E4293" t="inlineStr">
        <is>
          <t>ÅTVIDABERG</t>
        </is>
      </c>
      <c r="G4293" t="n">
        <v>1.2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s="2" t="inlineStr"/>
    </row>
    <row r="4294" ht="15" customHeight="1">
      <c r="A4294" t="inlineStr">
        <is>
          <t>A 31953-2022</t>
        </is>
      </c>
      <c r="B4294" s="1" t="n">
        <v>44777</v>
      </c>
      <c r="C4294" s="1" t="n">
        <v>45211</v>
      </c>
      <c r="D4294" t="inlineStr">
        <is>
          <t>ÖSTERGÖTLANDS LÄN</t>
        </is>
      </c>
      <c r="E4294" t="inlineStr">
        <is>
          <t>ÅTVIDABERG</t>
        </is>
      </c>
      <c r="G4294" t="n">
        <v>0.1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s="2" t="inlineStr"/>
    </row>
    <row r="4295" ht="15" customHeight="1">
      <c r="A4295" t="inlineStr">
        <is>
          <t>A 32057-2022</t>
        </is>
      </c>
      <c r="B4295" s="1" t="n">
        <v>44778</v>
      </c>
      <c r="C4295" s="1" t="n">
        <v>45211</v>
      </c>
      <c r="D4295" t="inlineStr">
        <is>
          <t>ÖSTERGÖTLANDS LÄN</t>
        </is>
      </c>
      <c r="E4295" t="inlineStr">
        <is>
          <t>ÅTVIDABERG</t>
        </is>
      </c>
      <c r="G4295" t="n">
        <v>0.1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s="2" t="inlineStr"/>
      <c r="U4295">
        <f>HYPERLINK("https://klasma.github.io/Logging_0561/knärot/A 32057-2022.png", "A 32057-2022")</f>
        <v/>
      </c>
      <c r="V4295">
        <f>HYPERLINK("https://klasma.github.io/Logging_0561/klagomål/A 32057-2022.docx", "A 32057-2022")</f>
        <v/>
      </c>
      <c r="W4295">
        <f>HYPERLINK("https://klasma.github.io/Logging_0561/klagomålsmail/A 32057-2022.docx", "A 32057-2022")</f>
        <v/>
      </c>
      <c r="X4295">
        <f>HYPERLINK("https://klasma.github.io/Logging_0561/tillsyn/A 32057-2022.docx", "A 32057-2022")</f>
        <v/>
      </c>
      <c r="Y4295">
        <f>HYPERLINK("https://klasma.github.io/Logging_0561/tillsynsmail/A 32057-2022.docx", "A 32057-2022")</f>
        <v/>
      </c>
    </row>
    <row r="4296" ht="15" customHeight="1">
      <c r="A4296" t="inlineStr">
        <is>
          <t>A 32063-2022</t>
        </is>
      </c>
      <c r="B4296" s="1" t="n">
        <v>44778</v>
      </c>
      <c r="C4296" s="1" t="n">
        <v>45211</v>
      </c>
      <c r="D4296" t="inlineStr">
        <is>
          <t>ÖSTERGÖTLANDS LÄN</t>
        </is>
      </c>
      <c r="E4296" t="inlineStr">
        <is>
          <t>ÅTVIDABERG</t>
        </is>
      </c>
      <c r="G4296" t="n">
        <v>0.1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s="2" t="inlineStr"/>
    </row>
    <row r="4297" ht="15" customHeight="1">
      <c r="A4297" t="inlineStr">
        <is>
          <t>A 32069-2022</t>
        </is>
      </c>
      <c r="B4297" s="1" t="n">
        <v>44778</v>
      </c>
      <c r="C4297" s="1" t="n">
        <v>45211</v>
      </c>
      <c r="D4297" t="inlineStr">
        <is>
          <t>ÖSTERGÖTLANDS LÄN</t>
        </is>
      </c>
      <c r="E4297" t="inlineStr">
        <is>
          <t>ÅTVIDABERG</t>
        </is>
      </c>
      <c r="G4297" t="n">
        <v>0.1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s="2" t="inlineStr"/>
    </row>
    <row r="4298" ht="15" customHeight="1">
      <c r="A4298" t="inlineStr">
        <is>
          <t>A 32067-2022</t>
        </is>
      </c>
      <c r="B4298" s="1" t="n">
        <v>44778</v>
      </c>
      <c r="C4298" s="1" t="n">
        <v>45211</v>
      </c>
      <c r="D4298" t="inlineStr">
        <is>
          <t>ÖSTERGÖTLANDS LÄN</t>
        </is>
      </c>
      <c r="E4298" t="inlineStr">
        <is>
          <t>ÅTVIDABERG</t>
        </is>
      </c>
      <c r="G4298" t="n">
        <v>0.3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s="2" t="inlineStr"/>
    </row>
    <row r="4299" ht="15" customHeight="1">
      <c r="A4299" t="inlineStr">
        <is>
          <t>A 32014-2022</t>
        </is>
      </c>
      <c r="B4299" s="1" t="n">
        <v>44778</v>
      </c>
      <c r="C4299" s="1" t="n">
        <v>45211</v>
      </c>
      <c r="D4299" t="inlineStr">
        <is>
          <t>ÖSTERGÖTLANDS LÄN</t>
        </is>
      </c>
      <c r="E4299" t="inlineStr">
        <is>
          <t>FINSPÅNG</t>
        </is>
      </c>
      <c r="F4299" t="inlineStr">
        <is>
          <t>Holmen skog AB</t>
        </is>
      </c>
      <c r="G4299" t="n">
        <v>1.3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s="2" t="inlineStr"/>
    </row>
    <row r="4300" ht="15" customHeight="1">
      <c r="A4300" t="inlineStr">
        <is>
          <t>A 32060-2022</t>
        </is>
      </c>
      <c r="B4300" s="1" t="n">
        <v>44778</v>
      </c>
      <c r="C4300" s="1" t="n">
        <v>45211</v>
      </c>
      <c r="D4300" t="inlineStr">
        <is>
          <t>ÖSTERGÖTLANDS LÄN</t>
        </is>
      </c>
      <c r="E4300" t="inlineStr">
        <is>
          <t>ÅTVIDABERG</t>
        </is>
      </c>
      <c r="G4300" t="n">
        <v>0.4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s="2" t="inlineStr"/>
    </row>
    <row r="4301" ht="15" customHeight="1">
      <c r="A4301" t="inlineStr">
        <is>
          <t>A 32066-2022</t>
        </is>
      </c>
      <c r="B4301" s="1" t="n">
        <v>44778</v>
      </c>
      <c r="C4301" s="1" t="n">
        <v>45211</v>
      </c>
      <c r="D4301" t="inlineStr">
        <is>
          <t>ÖSTERGÖTLANDS LÄN</t>
        </is>
      </c>
      <c r="E4301" t="inlineStr">
        <is>
          <t>ÅTVIDABERG</t>
        </is>
      </c>
      <c r="G4301" t="n">
        <v>0.3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s="2" t="inlineStr"/>
    </row>
    <row r="4302" ht="15" customHeight="1">
      <c r="A4302" t="inlineStr">
        <is>
          <t>A 32323-2022</t>
        </is>
      </c>
      <c r="B4302" s="1" t="n">
        <v>44781</v>
      </c>
      <c r="C4302" s="1" t="n">
        <v>45211</v>
      </c>
      <c r="D4302" t="inlineStr">
        <is>
          <t>ÖSTERGÖTLANDS LÄN</t>
        </is>
      </c>
      <c r="E4302" t="inlineStr">
        <is>
          <t>FINSPÅNG</t>
        </is>
      </c>
      <c r="G4302" t="n">
        <v>2.1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s="2" t="inlineStr"/>
    </row>
    <row r="4303" ht="15" customHeight="1">
      <c r="A4303" t="inlineStr">
        <is>
          <t>A 32324-2022</t>
        </is>
      </c>
      <c r="B4303" s="1" t="n">
        <v>44781</v>
      </c>
      <c r="C4303" s="1" t="n">
        <v>45211</v>
      </c>
      <c r="D4303" t="inlineStr">
        <is>
          <t>ÖSTERGÖTLANDS LÄN</t>
        </is>
      </c>
      <c r="E4303" t="inlineStr">
        <is>
          <t>FINSPÅNG</t>
        </is>
      </c>
      <c r="G4303" t="n">
        <v>2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s="2" t="inlineStr"/>
    </row>
    <row r="4304" ht="15" customHeight="1">
      <c r="A4304" t="inlineStr">
        <is>
          <t>A 32416-2022</t>
        </is>
      </c>
      <c r="B4304" s="1" t="n">
        <v>44782</v>
      </c>
      <c r="C4304" s="1" t="n">
        <v>45211</v>
      </c>
      <c r="D4304" t="inlineStr">
        <is>
          <t>ÖSTERGÖTLANDS LÄN</t>
        </is>
      </c>
      <c r="E4304" t="inlineStr">
        <is>
          <t>ÅTVIDABERG</t>
        </is>
      </c>
      <c r="G4304" t="n">
        <v>2.3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s="2" t="inlineStr"/>
    </row>
    <row r="4305" ht="15" customHeight="1">
      <c r="A4305" t="inlineStr">
        <is>
          <t>A 32497-2022</t>
        </is>
      </c>
      <c r="B4305" s="1" t="n">
        <v>44782</v>
      </c>
      <c r="C4305" s="1" t="n">
        <v>45211</v>
      </c>
      <c r="D4305" t="inlineStr">
        <is>
          <t>ÖSTERGÖTLANDS LÄN</t>
        </is>
      </c>
      <c r="E4305" t="inlineStr">
        <is>
          <t>KINDA</t>
        </is>
      </c>
      <c r="G4305" t="n">
        <v>1.5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s="2" t="inlineStr"/>
    </row>
    <row r="4306" ht="15" customHeight="1">
      <c r="A4306" t="inlineStr">
        <is>
          <t>A 32470-2022</t>
        </is>
      </c>
      <c r="B4306" s="1" t="n">
        <v>44782</v>
      </c>
      <c r="C4306" s="1" t="n">
        <v>45211</v>
      </c>
      <c r="D4306" t="inlineStr">
        <is>
          <t>ÖSTERGÖTLANDS LÄN</t>
        </is>
      </c>
      <c r="E4306" t="inlineStr">
        <is>
          <t>MOTALA</t>
        </is>
      </c>
      <c r="G4306" t="n">
        <v>0.8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s="2" t="inlineStr"/>
    </row>
    <row r="4307" ht="15" customHeight="1">
      <c r="A4307" t="inlineStr">
        <is>
          <t>A 33027-2022</t>
        </is>
      </c>
      <c r="B4307" s="1" t="n">
        <v>44782</v>
      </c>
      <c r="C4307" s="1" t="n">
        <v>45211</v>
      </c>
      <c r="D4307" t="inlineStr">
        <is>
          <t>ÖSTERGÖTLANDS LÄN</t>
        </is>
      </c>
      <c r="E4307" t="inlineStr">
        <is>
          <t>FINSPÅNG</t>
        </is>
      </c>
      <c r="G4307" t="n">
        <v>3.7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s="2" t="inlineStr"/>
    </row>
    <row r="4308" ht="15" customHeight="1">
      <c r="A4308" t="inlineStr">
        <is>
          <t>A 32626-2022</t>
        </is>
      </c>
      <c r="B4308" s="1" t="n">
        <v>44783</v>
      </c>
      <c r="C4308" s="1" t="n">
        <v>45211</v>
      </c>
      <c r="D4308" t="inlineStr">
        <is>
          <t>ÖSTERGÖTLANDS LÄN</t>
        </is>
      </c>
      <c r="E4308" t="inlineStr">
        <is>
          <t>NORRKÖPING</t>
        </is>
      </c>
      <c r="G4308" t="n">
        <v>5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s="2" t="inlineStr"/>
    </row>
    <row r="4309" ht="15" customHeight="1">
      <c r="A4309" t="inlineStr">
        <is>
          <t>A 32574-2022</t>
        </is>
      </c>
      <c r="B4309" s="1" t="n">
        <v>44783</v>
      </c>
      <c r="C4309" s="1" t="n">
        <v>45211</v>
      </c>
      <c r="D4309" t="inlineStr">
        <is>
          <t>ÖSTERGÖTLANDS LÄN</t>
        </is>
      </c>
      <c r="E4309" t="inlineStr">
        <is>
          <t>NORRKÖPING</t>
        </is>
      </c>
      <c r="G4309" t="n">
        <v>2.1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s="2" t="inlineStr"/>
    </row>
    <row r="4310" ht="15" customHeight="1">
      <c r="A4310" t="inlineStr">
        <is>
          <t>A 32630-2022</t>
        </is>
      </c>
      <c r="B4310" s="1" t="n">
        <v>44783</v>
      </c>
      <c r="C4310" s="1" t="n">
        <v>45211</v>
      </c>
      <c r="D4310" t="inlineStr">
        <is>
          <t>ÖSTERGÖTLANDS LÄN</t>
        </is>
      </c>
      <c r="E4310" t="inlineStr">
        <is>
          <t>NORRKÖPING</t>
        </is>
      </c>
      <c r="G4310" t="n">
        <v>2.6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s="2" t="inlineStr"/>
    </row>
    <row r="4311" ht="15" customHeight="1">
      <c r="A4311" t="inlineStr">
        <is>
          <t>A 32556-2022</t>
        </is>
      </c>
      <c r="B4311" s="1" t="n">
        <v>44783</v>
      </c>
      <c r="C4311" s="1" t="n">
        <v>45211</v>
      </c>
      <c r="D4311" t="inlineStr">
        <is>
          <t>ÖSTERGÖTLANDS LÄN</t>
        </is>
      </c>
      <c r="E4311" t="inlineStr">
        <is>
          <t>LINKÖPING</t>
        </is>
      </c>
      <c r="G4311" t="n">
        <v>0.8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s="2" t="inlineStr"/>
    </row>
    <row r="4312" ht="15" customHeight="1">
      <c r="A4312" t="inlineStr">
        <is>
          <t>A 32575-2022</t>
        </is>
      </c>
      <c r="B4312" s="1" t="n">
        <v>44783</v>
      </c>
      <c r="C4312" s="1" t="n">
        <v>45211</v>
      </c>
      <c r="D4312" t="inlineStr">
        <is>
          <t>ÖSTERGÖTLANDS LÄN</t>
        </is>
      </c>
      <c r="E4312" t="inlineStr">
        <is>
          <t>ÅTVIDABERG</t>
        </is>
      </c>
      <c r="G4312" t="n">
        <v>5.6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s="2" t="inlineStr"/>
    </row>
    <row r="4313" ht="15" customHeight="1">
      <c r="A4313" t="inlineStr">
        <is>
          <t>A 32951-2022</t>
        </is>
      </c>
      <c r="B4313" s="1" t="n">
        <v>44784</v>
      </c>
      <c r="C4313" s="1" t="n">
        <v>45211</v>
      </c>
      <c r="D4313" t="inlineStr">
        <is>
          <t>ÖSTERGÖTLANDS LÄN</t>
        </is>
      </c>
      <c r="E4313" t="inlineStr">
        <is>
          <t>ÅTVIDABERG</t>
        </is>
      </c>
      <c r="G4313" t="n">
        <v>3.5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s="2" t="inlineStr"/>
    </row>
    <row r="4314" ht="15" customHeight="1">
      <c r="A4314" t="inlineStr">
        <is>
          <t>A 32953-2022</t>
        </is>
      </c>
      <c r="B4314" s="1" t="n">
        <v>44784</v>
      </c>
      <c r="C4314" s="1" t="n">
        <v>45211</v>
      </c>
      <c r="D4314" t="inlineStr">
        <is>
          <t>ÖSTERGÖTLANDS LÄN</t>
        </is>
      </c>
      <c r="E4314" t="inlineStr">
        <is>
          <t>ÅTVIDABERG</t>
        </is>
      </c>
      <c r="G4314" t="n">
        <v>0.8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s="2" t="inlineStr"/>
    </row>
    <row r="4315" ht="15" customHeight="1">
      <c r="A4315" t="inlineStr">
        <is>
          <t>A 33139-2022</t>
        </is>
      </c>
      <c r="B4315" s="1" t="n">
        <v>44785</v>
      </c>
      <c r="C4315" s="1" t="n">
        <v>45211</v>
      </c>
      <c r="D4315" t="inlineStr">
        <is>
          <t>ÖSTERGÖTLANDS LÄN</t>
        </is>
      </c>
      <c r="E4315" t="inlineStr">
        <is>
          <t>LINKÖPING</t>
        </is>
      </c>
      <c r="G4315" t="n">
        <v>0.9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s="2" t="inlineStr"/>
    </row>
    <row r="4316" ht="15" customHeight="1">
      <c r="A4316" t="inlineStr">
        <is>
          <t>A 33134-2022</t>
        </is>
      </c>
      <c r="B4316" s="1" t="n">
        <v>44785</v>
      </c>
      <c r="C4316" s="1" t="n">
        <v>45211</v>
      </c>
      <c r="D4316" t="inlineStr">
        <is>
          <t>ÖSTERGÖTLANDS LÄN</t>
        </is>
      </c>
      <c r="E4316" t="inlineStr">
        <is>
          <t>LINKÖPING</t>
        </is>
      </c>
      <c r="G4316" t="n">
        <v>1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s="2" t="inlineStr"/>
    </row>
    <row r="4317" ht="15" customHeight="1">
      <c r="A4317" t="inlineStr">
        <is>
          <t>A 33604-2022</t>
        </is>
      </c>
      <c r="B4317" s="1" t="n">
        <v>44789</v>
      </c>
      <c r="C4317" s="1" t="n">
        <v>45211</v>
      </c>
      <c r="D4317" t="inlineStr">
        <is>
          <t>ÖSTERGÖTLANDS LÄN</t>
        </is>
      </c>
      <c r="E4317" t="inlineStr">
        <is>
          <t>ÅTVIDABERG</t>
        </is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s="2" t="inlineStr"/>
    </row>
    <row r="4318" ht="15" customHeight="1">
      <c r="A4318" t="inlineStr">
        <is>
          <t>A 33711-2022</t>
        </is>
      </c>
      <c r="B4318" s="1" t="n">
        <v>44789</v>
      </c>
      <c r="C4318" s="1" t="n">
        <v>45211</v>
      </c>
      <c r="D4318" t="inlineStr">
        <is>
          <t>ÖSTERGÖTLANDS LÄN</t>
        </is>
      </c>
      <c r="E4318" t="inlineStr">
        <is>
          <t>ÅTVIDABERG</t>
        </is>
      </c>
      <c r="G4318" t="n">
        <v>0.2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s="2" t="inlineStr"/>
    </row>
    <row r="4319" ht="15" customHeight="1">
      <c r="A4319" t="inlineStr">
        <is>
          <t>A 33710-2022</t>
        </is>
      </c>
      <c r="B4319" s="1" t="n">
        <v>44789</v>
      </c>
      <c r="C4319" s="1" t="n">
        <v>45211</v>
      </c>
      <c r="D4319" t="inlineStr">
        <is>
          <t>ÖSTERGÖTLANDS LÄN</t>
        </is>
      </c>
      <c r="E4319" t="inlineStr">
        <is>
          <t>ÅTVIDABERG</t>
        </is>
      </c>
      <c r="G4319" t="n">
        <v>0.1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s="2" t="inlineStr"/>
    </row>
    <row r="4320" ht="15" customHeight="1">
      <c r="A4320" t="inlineStr">
        <is>
          <t>A 33718-2022</t>
        </is>
      </c>
      <c r="B4320" s="1" t="n">
        <v>44789</v>
      </c>
      <c r="C4320" s="1" t="n">
        <v>45211</v>
      </c>
      <c r="D4320" t="inlineStr">
        <is>
          <t>ÖSTERGÖTLANDS LÄN</t>
        </is>
      </c>
      <c r="E4320" t="inlineStr">
        <is>
          <t>ÅTVIDABERG</t>
        </is>
      </c>
      <c r="G4320" t="n">
        <v>0.3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s="2" t="inlineStr"/>
    </row>
    <row r="4321" ht="15" customHeight="1">
      <c r="A4321" t="inlineStr">
        <is>
          <t>A 33680-2022</t>
        </is>
      </c>
      <c r="B4321" s="1" t="n">
        <v>44789</v>
      </c>
      <c r="C4321" s="1" t="n">
        <v>45211</v>
      </c>
      <c r="D4321" t="inlineStr">
        <is>
          <t>ÖSTERGÖTLANDS LÄN</t>
        </is>
      </c>
      <c r="E4321" t="inlineStr">
        <is>
          <t>YDRE</t>
        </is>
      </c>
      <c r="F4321" t="inlineStr">
        <is>
          <t>Sveaskog</t>
        </is>
      </c>
      <c r="G4321" t="n">
        <v>0.6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s="2" t="inlineStr"/>
    </row>
    <row r="4322" ht="15" customHeight="1">
      <c r="A4322" t="inlineStr">
        <is>
          <t>A 33714-2022</t>
        </is>
      </c>
      <c r="B4322" s="1" t="n">
        <v>44789</v>
      </c>
      <c r="C4322" s="1" t="n">
        <v>45211</v>
      </c>
      <c r="D4322" t="inlineStr">
        <is>
          <t>ÖSTERGÖTLANDS LÄN</t>
        </is>
      </c>
      <c r="E4322" t="inlineStr">
        <is>
          <t>ÅTVIDABERG</t>
        </is>
      </c>
      <c r="G4322" t="n">
        <v>0.1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s="2" t="inlineStr"/>
    </row>
    <row r="4323" ht="15" customHeight="1">
      <c r="A4323" t="inlineStr">
        <is>
          <t>A 33676-2022</t>
        </is>
      </c>
      <c r="B4323" s="1" t="n">
        <v>44789</v>
      </c>
      <c r="C4323" s="1" t="n">
        <v>45211</v>
      </c>
      <c r="D4323" t="inlineStr">
        <is>
          <t>ÖSTERGÖTLANDS LÄN</t>
        </is>
      </c>
      <c r="E4323" t="inlineStr">
        <is>
          <t>YDRE</t>
        </is>
      </c>
      <c r="F4323" t="inlineStr">
        <is>
          <t>Sveaskog</t>
        </is>
      </c>
      <c r="G4323" t="n">
        <v>1.8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s="2" t="inlineStr"/>
    </row>
    <row r="4324" ht="15" customHeight="1">
      <c r="A4324" t="inlineStr">
        <is>
          <t>A 34162-2022</t>
        </is>
      </c>
      <c r="B4324" s="1" t="n">
        <v>44791</v>
      </c>
      <c r="C4324" s="1" t="n">
        <v>45211</v>
      </c>
      <c r="D4324" t="inlineStr">
        <is>
          <t>ÖSTERGÖTLANDS LÄN</t>
        </is>
      </c>
      <c r="E4324" t="inlineStr">
        <is>
          <t>LINKÖPING</t>
        </is>
      </c>
      <c r="G4324" t="n">
        <v>3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s="2" t="inlineStr"/>
    </row>
    <row r="4325" ht="15" customHeight="1">
      <c r="A4325" t="inlineStr">
        <is>
          <t>A 34063-2022</t>
        </is>
      </c>
      <c r="B4325" s="1" t="n">
        <v>44791</v>
      </c>
      <c r="C4325" s="1" t="n">
        <v>45211</v>
      </c>
      <c r="D4325" t="inlineStr">
        <is>
          <t>ÖSTERGÖTLANDS LÄN</t>
        </is>
      </c>
      <c r="E4325" t="inlineStr">
        <is>
          <t>ÅTVIDABERG</t>
        </is>
      </c>
      <c r="G4325" t="n">
        <v>1.4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s="2" t="inlineStr"/>
    </row>
    <row r="4326" ht="15" customHeight="1">
      <c r="A4326" t="inlineStr">
        <is>
          <t>A 34109-2022</t>
        </is>
      </c>
      <c r="B4326" s="1" t="n">
        <v>44791</v>
      </c>
      <c r="C4326" s="1" t="n">
        <v>45211</v>
      </c>
      <c r="D4326" t="inlineStr">
        <is>
          <t>ÖSTERGÖTLANDS LÄN</t>
        </is>
      </c>
      <c r="E4326" t="inlineStr">
        <is>
          <t>ÖDESHÖG</t>
        </is>
      </c>
      <c r="G4326" t="n">
        <v>1.9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s="2" t="inlineStr"/>
    </row>
    <row r="4327" ht="15" customHeight="1">
      <c r="A4327" t="inlineStr">
        <is>
          <t>A 34426-2022</t>
        </is>
      </c>
      <c r="B4327" s="1" t="n">
        <v>44792</v>
      </c>
      <c r="C4327" s="1" t="n">
        <v>45211</v>
      </c>
      <c r="D4327" t="inlineStr">
        <is>
          <t>ÖSTERGÖTLANDS LÄN</t>
        </is>
      </c>
      <c r="E4327" t="inlineStr">
        <is>
          <t>ÖDESHÖG</t>
        </is>
      </c>
      <c r="G4327" t="n">
        <v>1.6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s="2" t="inlineStr"/>
    </row>
    <row r="4328" ht="15" customHeight="1">
      <c r="A4328" t="inlineStr">
        <is>
          <t>A 34605-2022</t>
        </is>
      </c>
      <c r="B4328" s="1" t="n">
        <v>44795</v>
      </c>
      <c r="C4328" s="1" t="n">
        <v>45211</v>
      </c>
      <c r="D4328" t="inlineStr">
        <is>
          <t>ÖSTERGÖTLANDS LÄN</t>
        </is>
      </c>
      <c r="E4328" t="inlineStr">
        <is>
          <t>ÅTVIDABERG</t>
        </is>
      </c>
      <c r="G4328" t="n">
        <v>0.8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s="2" t="inlineStr"/>
    </row>
    <row r="4329" ht="15" customHeight="1">
      <c r="A4329" t="inlineStr">
        <is>
          <t>A 34758-2022</t>
        </is>
      </c>
      <c r="B4329" s="1" t="n">
        <v>44795</v>
      </c>
      <c r="C4329" s="1" t="n">
        <v>45211</v>
      </c>
      <c r="D4329" t="inlineStr">
        <is>
          <t>ÖSTERGÖTLANDS LÄN</t>
        </is>
      </c>
      <c r="E4329" t="inlineStr">
        <is>
          <t>FINSPÅNG</t>
        </is>
      </c>
      <c r="F4329" t="inlineStr">
        <is>
          <t>Övriga Aktiebolag</t>
        </is>
      </c>
      <c r="G4329" t="n">
        <v>2.1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s="2" t="inlineStr"/>
    </row>
    <row r="4330" ht="15" customHeight="1">
      <c r="A4330" t="inlineStr">
        <is>
          <t>A 34641-2022</t>
        </is>
      </c>
      <c r="B4330" s="1" t="n">
        <v>44795</v>
      </c>
      <c r="C4330" s="1" t="n">
        <v>45211</v>
      </c>
      <c r="D4330" t="inlineStr">
        <is>
          <t>ÖSTERGÖTLANDS LÄN</t>
        </is>
      </c>
      <c r="E4330" t="inlineStr">
        <is>
          <t>LINKÖPING</t>
        </is>
      </c>
      <c r="G4330" t="n">
        <v>2.4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s="2" t="inlineStr"/>
    </row>
    <row r="4331" ht="15" customHeight="1">
      <c r="A4331" t="inlineStr">
        <is>
          <t>A 34730-2022</t>
        </is>
      </c>
      <c r="B4331" s="1" t="n">
        <v>44795</v>
      </c>
      <c r="C4331" s="1" t="n">
        <v>45211</v>
      </c>
      <c r="D4331" t="inlineStr">
        <is>
          <t>ÖSTERGÖTLANDS LÄN</t>
        </is>
      </c>
      <c r="E4331" t="inlineStr">
        <is>
          <t>KINDA</t>
        </is>
      </c>
      <c r="G4331" t="n">
        <v>1.7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s="2" t="inlineStr"/>
    </row>
    <row r="4332" ht="15" customHeight="1">
      <c r="A4332" t="inlineStr">
        <is>
          <t>A 34700-2022</t>
        </is>
      </c>
      <c r="B4332" s="1" t="n">
        <v>44795</v>
      </c>
      <c r="C4332" s="1" t="n">
        <v>45211</v>
      </c>
      <c r="D4332" t="inlineStr">
        <is>
          <t>ÖSTERGÖTLANDS LÄN</t>
        </is>
      </c>
      <c r="E4332" t="inlineStr">
        <is>
          <t>ÅTVIDABERG</t>
        </is>
      </c>
      <c r="F4332" t="inlineStr">
        <is>
          <t>Övriga Aktiebolag</t>
        </is>
      </c>
      <c r="G4332" t="n">
        <v>16.1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s="2" t="inlineStr"/>
    </row>
    <row r="4333" ht="15" customHeight="1">
      <c r="A4333" t="inlineStr">
        <is>
          <t>A 34776-2022</t>
        </is>
      </c>
      <c r="B4333" s="1" t="n">
        <v>44795</v>
      </c>
      <c r="C4333" s="1" t="n">
        <v>45211</v>
      </c>
      <c r="D4333" t="inlineStr">
        <is>
          <t>ÖSTERGÖTLANDS LÄN</t>
        </is>
      </c>
      <c r="E4333" t="inlineStr">
        <is>
          <t>FINSPÅNG</t>
        </is>
      </c>
      <c r="G4333" t="n">
        <v>1.8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s="2" t="inlineStr"/>
    </row>
    <row r="4334" ht="15" customHeight="1">
      <c r="A4334" t="inlineStr">
        <is>
          <t>A 34877-2022</t>
        </is>
      </c>
      <c r="B4334" s="1" t="n">
        <v>44796</v>
      </c>
      <c r="C4334" s="1" t="n">
        <v>45211</v>
      </c>
      <c r="D4334" t="inlineStr">
        <is>
          <t>ÖSTERGÖTLANDS LÄN</t>
        </is>
      </c>
      <c r="E4334" t="inlineStr">
        <is>
          <t>MOTALA</t>
        </is>
      </c>
      <c r="F4334" t="inlineStr">
        <is>
          <t>Övriga statliga verk och myndigheter</t>
        </is>
      </c>
      <c r="G4334" t="n">
        <v>21.3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s="2" t="inlineStr"/>
    </row>
    <row r="4335" ht="15" customHeight="1">
      <c r="A4335" t="inlineStr">
        <is>
          <t>A 34996-2022</t>
        </is>
      </c>
      <c r="B4335" s="1" t="n">
        <v>44796</v>
      </c>
      <c r="C4335" s="1" t="n">
        <v>45211</v>
      </c>
      <c r="D4335" t="inlineStr">
        <is>
          <t>ÖSTERGÖTLANDS LÄN</t>
        </is>
      </c>
      <c r="E4335" t="inlineStr">
        <is>
          <t>FINSPÅNG</t>
        </is>
      </c>
      <c r="G4335" t="n">
        <v>0.5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s="2" t="inlineStr"/>
    </row>
    <row r="4336" ht="15" customHeight="1">
      <c r="A4336" t="inlineStr">
        <is>
          <t>A 34880-2022</t>
        </is>
      </c>
      <c r="B4336" s="1" t="n">
        <v>44796</v>
      </c>
      <c r="C4336" s="1" t="n">
        <v>45211</v>
      </c>
      <c r="D4336" t="inlineStr">
        <is>
          <t>ÖSTERGÖTLANDS LÄN</t>
        </is>
      </c>
      <c r="E4336" t="inlineStr">
        <is>
          <t>LINKÖPING</t>
        </is>
      </c>
      <c r="F4336" t="inlineStr">
        <is>
          <t>Övriga statliga verk och myndigheter</t>
        </is>
      </c>
      <c r="G4336" t="n">
        <v>4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s="2" t="inlineStr"/>
    </row>
    <row r="4337" ht="15" customHeight="1">
      <c r="A4337" t="inlineStr">
        <is>
          <t>A 34917-2022</t>
        </is>
      </c>
      <c r="B4337" s="1" t="n">
        <v>44796</v>
      </c>
      <c r="C4337" s="1" t="n">
        <v>45211</v>
      </c>
      <c r="D4337" t="inlineStr">
        <is>
          <t>ÖSTERGÖTLANDS LÄN</t>
        </is>
      </c>
      <c r="E4337" t="inlineStr">
        <is>
          <t>SÖDERKÖPING</t>
        </is>
      </c>
      <c r="G4337" t="n">
        <v>3.1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s="2" t="inlineStr"/>
    </row>
    <row r="4338" ht="15" customHeight="1">
      <c r="A4338" t="inlineStr">
        <is>
          <t>A 34961-2022</t>
        </is>
      </c>
      <c r="B4338" s="1" t="n">
        <v>44796</v>
      </c>
      <c r="C4338" s="1" t="n">
        <v>45211</v>
      </c>
      <c r="D4338" t="inlineStr">
        <is>
          <t>ÖSTERGÖTLANDS LÄN</t>
        </is>
      </c>
      <c r="E4338" t="inlineStr">
        <is>
          <t>ÖDESHÖG</t>
        </is>
      </c>
      <c r="G4338" t="n">
        <v>1.8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s="2" t="inlineStr"/>
    </row>
    <row r="4339" ht="15" customHeight="1">
      <c r="A4339" t="inlineStr">
        <is>
          <t>A 34979-2022</t>
        </is>
      </c>
      <c r="B4339" s="1" t="n">
        <v>44796</v>
      </c>
      <c r="C4339" s="1" t="n">
        <v>45211</v>
      </c>
      <c r="D4339" t="inlineStr">
        <is>
          <t>ÖSTERGÖTLANDS LÄN</t>
        </is>
      </c>
      <c r="E4339" t="inlineStr">
        <is>
          <t>ÖDESHÖG</t>
        </is>
      </c>
      <c r="G4339" t="n">
        <v>1.1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s="2" t="inlineStr"/>
    </row>
    <row r="4340" ht="15" customHeight="1">
      <c r="A4340" t="inlineStr">
        <is>
          <t>A 35205-2022</t>
        </is>
      </c>
      <c r="B4340" s="1" t="n">
        <v>44797</v>
      </c>
      <c r="C4340" s="1" t="n">
        <v>45211</v>
      </c>
      <c r="D4340" t="inlineStr">
        <is>
          <t>ÖSTERGÖTLANDS LÄN</t>
        </is>
      </c>
      <c r="E4340" t="inlineStr">
        <is>
          <t>ÅTVIDABERG</t>
        </is>
      </c>
      <c r="G4340" t="n">
        <v>1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s="2" t="inlineStr"/>
    </row>
    <row r="4341" ht="15" customHeight="1">
      <c r="A4341" t="inlineStr">
        <is>
          <t>A 35326-2022</t>
        </is>
      </c>
      <c r="B4341" s="1" t="n">
        <v>44798</v>
      </c>
      <c r="C4341" s="1" t="n">
        <v>45211</v>
      </c>
      <c r="D4341" t="inlineStr">
        <is>
          <t>ÖSTERGÖTLANDS LÄN</t>
        </is>
      </c>
      <c r="E4341" t="inlineStr">
        <is>
          <t>SÖDERKÖPING</t>
        </is>
      </c>
      <c r="G4341" t="n">
        <v>1.9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s="2" t="inlineStr"/>
    </row>
    <row r="4342" ht="15" customHeight="1">
      <c r="A4342" t="inlineStr">
        <is>
          <t>A 35423-2022</t>
        </is>
      </c>
      <c r="B4342" s="1" t="n">
        <v>44798</v>
      </c>
      <c r="C4342" s="1" t="n">
        <v>45211</v>
      </c>
      <c r="D4342" t="inlineStr">
        <is>
          <t>ÖSTERGÖTLANDS LÄN</t>
        </is>
      </c>
      <c r="E4342" t="inlineStr">
        <is>
          <t>SÖDERKÖPING</t>
        </is>
      </c>
      <c r="G4342" t="n">
        <v>2.3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s="2" t="inlineStr"/>
    </row>
    <row r="4343" ht="15" customHeight="1">
      <c r="A4343" t="inlineStr">
        <is>
          <t>A 35339-2022</t>
        </is>
      </c>
      <c r="B4343" s="1" t="n">
        <v>44798</v>
      </c>
      <c r="C4343" s="1" t="n">
        <v>45211</v>
      </c>
      <c r="D4343" t="inlineStr">
        <is>
          <t>ÖSTERGÖTLANDS LÄN</t>
        </is>
      </c>
      <c r="E4343" t="inlineStr">
        <is>
          <t>YDRE</t>
        </is>
      </c>
      <c r="G4343" t="n">
        <v>3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s="2" t="inlineStr"/>
    </row>
    <row r="4344" ht="15" customHeight="1">
      <c r="A4344" t="inlineStr">
        <is>
          <t>A 35366-2022</t>
        </is>
      </c>
      <c r="B4344" s="1" t="n">
        <v>44798</v>
      </c>
      <c r="C4344" s="1" t="n">
        <v>45211</v>
      </c>
      <c r="D4344" t="inlineStr">
        <is>
          <t>ÖSTERGÖTLANDS LÄN</t>
        </is>
      </c>
      <c r="E4344" t="inlineStr">
        <is>
          <t>ÖDESHÖG</t>
        </is>
      </c>
      <c r="G4344" t="n">
        <v>1.8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s="2" t="inlineStr"/>
    </row>
    <row r="4345" ht="15" customHeight="1">
      <c r="A4345" t="inlineStr">
        <is>
          <t>A 35443-2022</t>
        </is>
      </c>
      <c r="B4345" s="1" t="n">
        <v>44798</v>
      </c>
      <c r="C4345" s="1" t="n">
        <v>45211</v>
      </c>
      <c r="D4345" t="inlineStr">
        <is>
          <t>ÖSTERGÖTLANDS LÄN</t>
        </is>
      </c>
      <c r="E4345" t="inlineStr">
        <is>
          <t>ÖDESHÖG</t>
        </is>
      </c>
      <c r="G4345" t="n">
        <v>4.7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s="2" t="inlineStr"/>
    </row>
    <row r="4346" ht="15" customHeight="1">
      <c r="A4346" t="inlineStr">
        <is>
          <t>A 35651-2022</t>
        </is>
      </c>
      <c r="B4346" s="1" t="n">
        <v>44799</v>
      </c>
      <c r="C4346" s="1" t="n">
        <v>45211</v>
      </c>
      <c r="D4346" t="inlineStr">
        <is>
          <t>ÖSTERGÖTLANDS LÄN</t>
        </is>
      </c>
      <c r="E4346" t="inlineStr">
        <is>
          <t>VALDEMARSVIK</t>
        </is>
      </c>
      <c r="G4346" t="n">
        <v>3.6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s="2" t="inlineStr"/>
    </row>
    <row r="4347" ht="15" customHeight="1">
      <c r="A4347" t="inlineStr">
        <is>
          <t>A 35650-2022</t>
        </is>
      </c>
      <c r="B4347" s="1" t="n">
        <v>44799</v>
      </c>
      <c r="C4347" s="1" t="n">
        <v>45211</v>
      </c>
      <c r="D4347" t="inlineStr">
        <is>
          <t>ÖSTERGÖTLANDS LÄN</t>
        </is>
      </c>
      <c r="E4347" t="inlineStr">
        <is>
          <t>KINDA</t>
        </is>
      </c>
      <c r="G4347" t="n">
        <v>1.6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s="2" t="inlineStr"/>
    </row>
    <row r="4348" ht="15" customHeight="1">
      <c r="A4348" t="inlineStr">
        <is>
          <t>A 35663-2022</t>
        </is>
      </c>
      <c r="B4348" s="1" t="n">
        <v>44799</v>
      </c>
      <c r="C4348" s="1" t="n">
        <v>45211</v>
      </c>
      <c r="D4348" t="inlineStr">
        <is>
          <t>ÖSTERGÖTLANDS LÄN</t>
        </is>
      </c>
      <c r="E4348" t="inlineStr">
        <is>
          <t>MOTALA</t>
        </is>
      </c>
      <c r="G4348" t="n">
        <v>1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s="2" t="inlineStr"/>
    </row>
    <row r="4349" ht="15" customHeight="1">
      <c r="A4349" t="inlineStr">
        <is>
          <t>A 35655-2022</t>
        </is>
      </c>
      <c r="B4349" s="1" t="n">
        <v>44799</v>
      </c>
      <c r="C4349" s="1" t="n">
        <v>45211</v>
      </c>
      <c r="D4349" t="inlineStr">
        <is>
          <t>ÖSTERGÖTLANDS LÄN</t>
        </is>
      </c>
      <c r="E4349" t="inlineStr">
        <is>
          <t>VALDEMARSVIK</t>
        </is>
      </c>
      <c r="G4349" t="n">
        <v>1.7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s="2" t="inlineStr"/>
    </row>
    <row r="4350" ht="15" customHeight="1">
      <c r="A4350" t="inlineStr">
        <is>
          <t>A 35810-2022</t>
        </is>
      </c>
      <c r="B4350" s="1" t="n">
        <v>44799</v>
      </c>
      <c r="C4350" s="1" t="n">
        <v>45211</v>
      </c>
      <c r="D4350" t="inlineStr">
        <is>
          <t>ÖSTERGÖTLANDS LÄN</t>
        </is>
      </c>
      <c r="E4350" t="inlineStr">
        <is>
          <t>FINSPÅNG</t>
        </is>
      </c>
      <c r="G4350" t="n">
        <v>2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s="2" t="inlineStr"/>
    </row>
    <row r="4351" ht="15" customHeight="1">
      <c r="A4351" t="inlineStr">
        <is>
          <t>A 35789-2022</t>
        </is>
      </c>
      <c r="B4351" s="1" t="n">
        <v>44801</v>
      </c>
      <c r="C4351" s="1" t="n">
        <v>45211</v>
      </c>
      <c r="D4351" t="inlineStr">
        <is>
          <t>ÖSTERGÖTLANDS LÄN</t>
        </is>
      </c>
      <c r="E4351" t="inlineStr">
        <is>
          <t>KINDA</t>
        </is>
      </c>
      <c r="G4351" t="n">
        <v>2.2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s="2" t="inlineStr"/>
    </row>
    <row r="4352" ht="15" customHeight="1">
      <c r="A4352" t="inlineStr">
        <is>
          <t>A 36100-2022</t>
        </is>
      </c>
      <c r="B4352" s="1" t="n">
        <v>44802</v>
      </c>
      <c r="C4352" s="1" t="n">
        <v>45211</v>
      </c>
      <c r="D4352" t="inlineStr">
        <is>
          <t>ÖSTERGÖTLANDS LÄN</t>
        </is>
      </c>
      <c r="E4352" t="inlineStr">
        <is>
          <t>FINSPÅNG</t>
        </is>
      </c>
      <c r="G4352" t="n">
        <v>2.3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s="2" t="inlineStr"/>
    </row>
    <row r="4353" ht="15" customHeight="1">
      <c r="A4353" t="inlineStr">
        <is>
          <t>A 35864-2022</t>
        </is>
      </c>
      <c r="B4353" s="1" t="n">
        <v>44802</v>
      </c>
      <c r="C4353" s="1" t="n">
        <v>45211</v>
      </c>
      <c r="D4353" t="inlineStr">
        <is>
          <t>ÖSTERGÖTLANDS LÄN</t>
        </is>
      </c>
      <c r="E4353" t="inlineStr">
        <is>
          <t>FINSPÅNG</t>
        </is>
      </c>
      <c r="G4353" t="n">
        <v>9.5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s="2" t="inlineStr"/>
    </row>
    <row r="4354" ht="15" customHeight="1">
      <c r="A4354" t="inlineStr">
        <is>
          <t>A 35873-2022</t>
        </is>
      </c>
      <c r="B4354" s="1" t="n">
        <v>44802</v>
      </c>
      <c r="C4354" s="1" t="n">
        <v>45211</v>
      </c>
      <c r="D4354" t="inlineStr">
        <is>
          <t>ÖSTERGÖTLANDS LÄN</t>
        </is>
      </c>
      <c r="E4354" t="inlineStr">
        <is>
          <t>FINSPÅNG</t>
        </is>
      </c>
      <c r="G4354" t="n">
        <v>2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s="2" t="inlineStr"/>
    </row>
    <row r="4355" ht="15" customHeight="1">
      <c r="A4355" t="inlineStr">
        <is>
          <t>A 36075-2022</t>
        </is>
      </c>
      <c r="B4355" s="1" t="n">
        <v>44802</v>
      </c>
      <c r="C4355" s="1" t="n">
        <v>45211</v>
      </c>
      <c r="D4355" t="inlineStr">
        <is>
          <t>ÖSTERGÖTLANDS LÄN</t>
        </is>
      </c>
      <c r="E4355" t="inlineStr">
        <is>
          <t>FINSPÅNG</t>
        </is>
      </c>
      <c r="G4355" t="n">
        <v>0.4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s="2" t="inlineStr"/>
    </row>
    <row r="4356" ht="15" customHeight="1">
      <c r="A4356" t="inlineStr">
        <is>
          <t>A 35847-2022</t>
        </is>
      </c>
      <c r="B4356" s="1" t="n">
        <v>44802</v>
      </c>
      <c r="C4356" s="1" t="n">
        <v>45211</v>
      </c>
      <c r="D4356" t="inlineStr">
        <is>
          <t>ÖSTERGÖTLANDS LÄN</t>
        </is>
      </c>
      <c r="E4356" t="inlineStr">
        <is>
          <t>KINDA</t>
        </is>
      </c>
      <c r="G4356" t="n">
        <v>0.9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s="2" t="inlineStr"/>
    </row>
    <row r="4357" ht="15" customHeight="1">
      <c r="A4357" t="inlineStr">
        <is>
          <t>A 36336-2022</t>
        </is>
      </c>
      <c r="B4357" s="1" t="n">
        <v>44803</v>
      </c>
      <c r="C4357" s="1" t="n">
        <v>45211</v>
      </c>
      <c r="D4357" t="inlineStr">
        <is>
          <t>ÖSTERGÖTLANDS LÄN</t>
        </is>
      </c>
      <c r="E4357" t="inlineStr">
        <is>
          <t>LINKÖPING</t>
        </is>
      </c>
      <c r="G4357" t="n">
        <v>1.1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s="2" t="inlineStr"/>
    </row>
    <row r="4358" ht="15" customHeight="1">
      <c r="A4358" t="inlineStr">
        <is>
          <t>A 36341-2022</t>
        </is>
      </c>
      <c r="B4358" s="1" t="n">
        <v>44803</v>
      </c>
      <c r="C4358" s="1" t="n">
        <v>45211</v>
      </c>
      <c r="D4358" t="inlineStr">
        <is>
          <t>ÖSTERGÖTLANDS LÄN</t>
        </is>
      </c>
      <c r="E4358" t="inlineStr">
        <is>
          <t>LINKÖPING</t>
        </is>
      </c>
      <c r="G4358" t="n">
        <v>0.5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s="2" t="inlineStr"/>
    </row>
    <row r="4359" ht="15" customHeight="1">
      <c r="A4359" t="inlineStr">
        <is>
          <t>A 36573-2022</t>
        </is>
      </c>
      <c r="B4359" s="1" t="n">
        <v>44804</v>
      </c>
      <c r="C4359" s="1" t="n">
        <v>45211</v>
      </c>
      <c r="D4359" t="inlineStr">
        <is>
          <t>ÖSTERGÖTLANDS LÄN</t>
        </is>
      </c>
      <c r="E4359" t="inlineStr">
        <is>
          <t>FINSPÅNG</t>
        </is>
      </c>
      <c r="F4359" t="inlineStr">
        <is>
          <t>Holmen skog AB</t>
        </is>
      </c>
      <c r="G4359" t="n">
        <v>0.8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s="2" t="inlineStr"/>
    </row>
    <row r="4360" ht="15" customHeight="1">
      <c r="A4360" t="inlineStr">
        <is>
          <t>A 36408-2022</t>
        </is>
      </c>
      <c r="B4360" s="1" t="n">
        <v>44804</v>
      </c>
      <c r="C4360" s="1" t="n">
        <v>45211</v>
      </c>
      <c r="D4360" t="inlineStr">
        <is>
          <t>ÖSTERGÖTLANDS LÄN</t>
        </is>
      </c>
      <c r="E4360" t="inlineStr">
        <is>
          <t>NORRKÖPING</t>
        </is>
      </c>
      <c r="G4360" t="n">
        <v>3.2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s="2" t="inlineStr"/>
    </row>
    <row r="4361" ht="15" customHeight="1">
      <c r="A4361" t="inlineStr">
        <is>
          <t>A 36589-2022</t>
        </is>
      </c>
      <c r="B4361" s="1" t="n">
        <v>44804</v>
      </c>
      <c r="C4361" s="1" t="n">
        <v>45211</v>
      </c>
      <c r="D4361" t="inlineStr">
        <is>
          <t>ÖSTERGÖTLANDS LÄN</t>
        </is>
      </c>
      <c r="E4361" t="inlineStr">
        <is>
          <t>LINKÖPING</t>
        </is>
      </c>
      <c r="F4361" t="inlineStr">
        <is>
          <t>Allmännings- och besparingsskogar</t>
        </is>
      </c>
      <c r="G4361" t="n">
        <v>13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s="2" t="inlineStr"/>
    </row>
    <row r="4362" ht="15" customHeight="1">
      <c r="A4362" t="inlineStr">
        <is>
          <t>A 36725-2022</t>
        </is>
      </c>
      <c r="B4362" s="1" t="n">
        <v>44804</v>
      </c>
      <c r="C4362" s="1" t="n">
        <v>45211</v>
      </c>
      <c r="D4362" t="inlineStr">
        <is>
          <t>ÖSTERGÖTLANDS LÄN</t>
        </is>
      </c>
      <c r="E4362" t="inlineStr">
        <is>
          <t>MOTALA</t>
        </is>
      </c>
      <c r="G4362" t="n">
        <v>4.8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s="2" t="inlineStr"/>
    </row>
    <row r="4363" ht="15" customHeight="1">
      <c r="A4363" t="inlineStr">
        <is>
          <t>A 36954-2022</t>
        </is>
      </c>
      <c r="B4363" s="1" t="n">
        <v>44805</v>
      </c>
      <c r="C4363" s="1" t="n">
        <v>45211</v>
      </c>
      <c r="D4363" t="inlineStr">
        <is>
          <t>ÖSTERGÖTLANDS LÄN</t>
        </is>
      </c>
      <c r="E4363" t="inlineStr">
        <is>
          <t>NORRKÖPING</t>
        </is>
      </c>
      <c r="F4363" t="inlineStr">
        <is>
          <t>Allmännings- och besparingsskogar</t>
        </is>
      </c>
      <c r="G4363" t="n">
        <v>3.5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s="2" t="inlineStr"/>
    </row>
    <row r="4364" ht="15" customHeight="1">
      <c r="A4364" t="inlineStr">
        <is>
          <t>A 36790-2022</t>
        </is>
      </c>
      <c r="B4364" s="1" t="n">
        <v>44805</v>
      </c>
      <c r="C4364" s="1" t="n">
        <v>45211</v>
      </c>
      <c r="D4364" t="inlineStr">
        <is>
          <t>ÖSTERGÖTLANDS LÄN</t>
        </is>
      </c>
      <c r="E4364" t="inlineStr">
        <is>
          <t>VALDEMARSVIK</t>
        </is>
      </c>
      <c r="G4364" t="n">
        <v>1.8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s="2" t="inlineStr"/>
    </row>
    <row r="4365" ht="15" customHeight="1">
      <c r="A4365" t="inlineStr">
        <is>
          <t>A 36734-2022</t>
        </is>
      </c>
      <c r="B4365" s="1" t="n">
        <v>44805</v>
      </c>
      <c r="C4365" s="1" t="n">
        <v>45211</v>
      </c>
      <c r="D4365" t="inlineStr">
        <is>
          <t>ÖSTERGÖTLANDS LÄN</t>
        </is>
      </c>
      <c r="E4365" t="inlineStr">
        <is>
          <t>SÖDERKÖPING</t>
        </is>
      </c>
      <c r="G4365" t="n">
        <v>2.8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s="2" t="inlineStr"/>
    </row>
    <row r="4366" ht="15" customHeight="1">
      <c r="A4366" t="inlineStr">
        <is>
          <t>A 36785-2022</t>
        </is>
      </c>
      <c r="B4366" s="1" t="n">
        <v>44805</v>
      </c>
      <c r="C4366" s="1" t="n">
        <v>45211</v>
      </c>
      <c r="D4366" t="inlineStr">
        <is>
          <t>ÖSTERGÖTLANDS LÄN</t>
        </is>
      </c>
      <c r="E4366" t="inlineStr">
        <is>
          <t>VALDEMARSVIK</t>
        </is>
      </c>
      <c r="G4366" t="n">
        <v>4.2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s="2" t="inlineStr"/>
    </row>
    <row r="4367" ht="15" customHeight="1">
      <c r="A4367" t="inlineStr">
        <is>
          <t>A 36789-2022</t>
        </is>
      </c>
      <c r="B4367" s="1" t="n">
        <v>44805</v>
      </c>
      <c r="C4367" s="1" t="n">
        <v>45211</v>
      </c>
      <c r="D4367" t="inlineStr">
        <is>
          <t>ÖSTERGÖTLANDS LÄN</t>
        </is>
      </c>
      <c r="E4367" t="inlineStr">
        <is>
          <t>KINDA</t>
        </is>
      </c>
      <c r="G4367" t="n">
        <v>0.9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s="2" t="inlineStr"/>
    </row>
    <row r="4368" ht="15" customHeight="1">
      <c r="A4368" t="inlineStr">
        <is>
          <t>A 36887-2022</t>
        </is>
      </c>
      <c r="B4368" s="1" t="n">
        <v>44805</v>
      </c>
      <c r="C4368" s="1" t="n">
        <v>45211</v>
      </c>
      <c r="D4368" t="inlineStr">
        <is>
          <t>ÖSTERGÖTLANDS LÄN</t>
        </is>
      </c>
      <c r="E4368" t="inlineStr">
        <is>
          <t>NORRKÖPING</t>
        </is>
      </c>
      <c r="F4368" t="inlineStr">
        <is>
          <t>Allmännings- och besparingsskogar</t>
        </is>
      </c>
      <c r="G4368" t="n">
        <v>4.9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s="2" t="inlineStr"/>
    </row>
    <row r="4369" ht="15" customHeight="1">
      <c r="A4369" t="inlineStr">
        <is>
          <t>A 36972-2022</t>
        </is>
      </c>
      <c r="B4369" s="1" t="n">
        <v>44806</v>
      </c>
      <c r="C4369" s="1" t="n">
        <v>45211</v>
      </c>
      <c r="D4369" t="inlineStr">
        <is>
          <t>ÖSTERGÖTLANDS LÄN</t>
        </is>
      </c>
      <c r="E4369" t="inlineStr">
        <is>
          <t>ÅTVIDABERG</t>
        </is>
      </c>
      <c r="G4369" t="n">
        <v>0.7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s="2" t="inlineStr"/>
    </row>
    <row r="4370" ht="15" customHeight="1">
      <c r="A4370" t="inlineStr">
        <is>
          <t>A 36994-2022</t>
        </is>
      </c>
      <c r="B4370" s="1" t="n">
        <v>44806</v>
      </c>
      <c r="C4370" s="1" t="n">
        <v>45211</v>
      </c>
      <c r="D4370" t="inlineStr">
        <is>
          <t>ÖSTERGÖTLANDS LÄN</t>
        </is>
      </c>
      <c r="E4370" t="inlineStr">
        <is>
          <t>FINSPÅNG</t>
        </is>
      </c>
      <c r="F4370" t="inlineStr">
        <is>
          <t>Holmen skog AB</t>
        </is>
      </c>
      <c r="G4370" t="n">
        <v>1.2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s="2" t="inlineStr"/>
    </row>
    <row r="4371" ht="15" customHeight="1">
      <c r="A4371" t="inlineStr">
        <is>
          <t>A 37179-2022</t>
        </is>
      </c>
      <c r="B4371" s="1" t="n">
        <v>44806</v>
      </c>
      <c r="C4371" s="1" t="n">
        <v>45211</v>
      </c>
      <c r="D4371" t="inlineStr">
        <is>
          <t>ÖSTERGÖTLANDS LÄN</t>
        </is>
      </c>
      <c r="E4371" t="inlineStr">
        <is>
          <t>ÅTVIDABERG</t>
        </is>
      </c>
      <c r="G4371" t="n">
        <v>1.8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s="2" t="inlineStr"/>
    </row>
    <row r="4372" ht="15" customHeight="1">
      <c r="A4372" t="inlineStr">
        <is>
          <t>A 36967-2022</t>
        </is>
      </c>
      <c r="B4372" s="1" t="n">
        <v>44806</v>
      </c>
      <c r="C4372" s="1" t="n">
        <v>45211</v>
      </c>
      <c r="D4372" t="inlineStr">
        <is>
          <t>ÖSTERGÖTLANDS LÄN</t>
        </is>
      </c>
      <c r="E4372" t="inlineStr">
        <is>
          <t>ÅTVIDABERG</t>
        </is>
      </c>
      <c r="G4372" t="n">
        <v>1.1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s="2" t="inlineStr"/>
    </row>
    <row r="4373" ht="15" customHeight="1">
      <c r="A4373" t="inlineStr">
        <is>
          <t>A 37465-2022</t>
        </is>
      </c>
      <c r="B4373" s="1" t="n">
        <v>44809</v>
      </c>
      <c r="C4373" s="1" t="n">
        <v>45211</v>
      </c>
      <c r="D4373" t="inlineStr">
        <is>
          <t>ÖSTERGÖTLANDS LÄN</t>
        </is>
      </c>
      <c r="E4373" t="inlineStr">
        <is>
          <t>MOTALA</t>
        </is>
      </c>
      <c r="F4373" t="inlineStr">
        <is>
          <t>Övriga statliga verk och myndigheter</t>
        </is>
      </c>
      <c r="G4373" t="n">
        <v>0.9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s="2" t="inlineStr"/>
    </row>
    <row r="4374" ht="15" customHeight="1">
      <c r="A4374" t="inlineStr">
        <is>
          <t>A 37473-2022</t>
        </is>
      </c>
      <c r="B4374" s="1" t="n">
        <v>44809</v>
      </c>
      <c r="C4374" s="1" t="n">
        <v>45211</v>
      </c>
      <c r="D4374" t="inlineStr">
        <is>
          <t>ÖSTERGÖTLANDS LÄN</t>
        </is>
      </c>
      <c r="E4374" t="inlineStr">
        <is>
          <t>MOTALA</t>
        </is>
      </c>
      <c r="F4374" t="inlineStr">
        <is>
          <t>Övriga statliga verk och myndigheter</t>
        </is>
      </c>
      <c r="G4374" t="n">
        <v>7.5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s="2" t="inlineStr"/>
    </row>
    <row r="4375" ht="15" customHeight="1">
      <c r="A4375" t="inlineStr">
        <is>
          <t>A 37496-2022</t>
        </is>
      </c>
      <c r="B4375" s="1" t="n">
        <v>44809</v>
      </c>
      <c r="C4375" s="1" t="n">
        <v>45211</v>
      </c>
      <c r="D4375" t="inlineStr">
        <is>
          <t>ÖSTERGÖTLANDS LÄN</t>
        </is>
      </c>
      <c r="E4375" t="inlineStr">
        <is>
          <t>MOTALA</t>
        </is>
      </c>
      <c r="F4375" t="inlineStr">
        <is>
          <t>Övriga statliga verk och myndigheter</t>
        </is>
      </c>
      <c r="G4375" t="n">
        <v>2.4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s="2" t="inlineStr"/>
    </row>
    <row r="4376" ht="15" customHeight="1">
      <c r="A4376" t="inlineStr">
        <is>
          <t>A 37934-2022</t>
        </is>
      </c>
      <c r="B4376" s="1" t="n">
        <v>44809</v>
      </c>
      <c r="C4376" s="1" t="n">
        <v>45211</v>
      </c>
      <c r="D4376" t="inlineStr">
        <is>
          <t>ÖSTERGÖTLANDS LÄN</t>
        </is>
      </c>
      <c r="E4376" t="inlineStr">
        <is>
          <t>LINKÖPING</t>
        </is>
      </c>
      <c r="G4376" t="n">
        <v>1.6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s="2" t="inlineStr"/>
    </row>
    <row r="4377" ht="15" customHeight="1">
      <c r="A4377" t="inlineStr">
        <is>
          <t>A 37578-2022</t>
        </is>
      </c>
      <c r="B4377" s="1" t="n">
        <v>44809</v>
      </c>
      <c r="C4377" s="1" t="n">
        <v>45211</v>
      </c>
      <c r="D4377" t="inlineStr">
        <is>
          <t>ÖSTERGÖTLANDS LÄN</t>
        </is>
      </c>
      <c r="E4377" t="inlineStr">
        <is>
          <t>BOXHOLM</t>
        </is>
      </c>
      <c r="G4377" t="n">
        <v>2.4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s="2" t="inlineStr"/>
    </row>
    <row r="4378" ht="15" customHeight="1">
      <c r="A4378" t="inlineStr">
        <is>
          <t>A 37477-2022</t>
        </is>
      </c>
      <c r="B4378" s="1" t="n">
        <v>44809</v>
      </c>
      <c r="C4378" s="1" t="n">
        <v>45211</v>
      </c>
      <c r="D4378" t="inlineStr">
        <is>
          <t>ÖSTERGÖTLANDS LÄN</t>
        </is>
      </c>
      <c r="E4378" t="inlineStr">
        <is>
          <t>MOTALA</t>
        </is>
      </c>
      <c r="F4378" t="inlineStr">
        <is>
          <t>Övriga statliga verk och myndigheter</t>
        </is>
      </c>
      <c r="G4378" t="n">
        <v>1.1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s="2" t="inlineStr"/>
    </row>
    <row r="4379" ht="15" customHeight="1">
      <c r="A4379" t="inlineStr">
        <is>
          <t>A 37715-2022</t>
        </is>
      </c>
      <c r="B4379" s="1" t="n">
        <v>44810</v>
      </c>
      <c r="C4379" s="1" t="n">
        <v>45211</v>
      </c>
      <c r="D4379" t="inlineStr">
        <is>
          <t>ÖSTERGÖTLANDS LÄN</t>
        </is>
      </c>
      <c r="E4379" t="inlineStr">
        <is>
          <t>LINKÖPING</t>
        </is>
      </c>
      <c r="G4379" t="n">
        <v>0.7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s="2" t="inlineStr"/>
    </row>
    <row r="4380" ht="15" customHeight="1">
      <c r="A4380" t="inlineStr">
        <is>
          <t>A 37802-2022</t>
        </is>
      </c>
      <c r="B4380" s="1" t="n">
        <v>44810</v>
      </c>
      <c r="C4380" s="1" t="n">
        <v>45211</v>
      </c>
      <c r="D4380" t="inlineStr">
        <is>
          <t>ÖSTERGÖTLANDS LÄN</t>
        </is>
      </c>
      <c r="E4380" t="inlineStr">
        <is>
          <t>MJÖLBY</t>
        </is>
      </c>
      <c r="G4380" t="n">
        <v>4.7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s="2" t="inlineStr"/>
    </row>
    <row r="4381" ht="15" customHeight="1">
      <c r="A4381" t="inlineStr">
        <is>
          <t>A 37756-2022</t>
        </is>
      </c>
      <c r="B4381" s="1" t="n">
        <v>44810</v>
      </c>
      <c r="C4381" s="1" t="n">
        <v>45211</v>
      </c>
      <c r="D4381" t="inlineStr">
        <is>
          <t>ÖSTERGÖTLANDS LÄN</t>
        </is>
      </c>
      <c r="E4381" t="inlineStr">
        <is>
          <t>LINKÖPING</t>
        </is>
      </c>
      <c r="G4381" t="n">
        <v>9.800000000000001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s="2" t="inlineStr"/>
    </row>
    <row r="4382" ht="15" customHeight="1">
      <c r="A4382" t="inlineStr">
        <is>
          <t>A 37806-2022</t>
        </is>
      </c>
      <c r="B4382" s="1" t="n">
        <v>44810</v>
      </c>
      <c r="C4382" s="1" t="n">
        <v>45211</v>
      </c>
      <c r="D4382" t="inlineStr">
        <is>
          <t>ÖSTERGÖTLANDS LÄN</t>
        </is>
      </c>
      <c r="E4382" t="inlineStr">
        <is>
          <t>MJÖLBY</t>
        </is>
      </c>
      <c r="G4382" t="n">
        <v>1.9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s="2" t="inlineStr"/>
    </row>
    <row r="4383" ht="15" customHeight="1">
      <c r="A4383" t="inlineStr">
        <is>
          <t>A 38266-2022</t>
        </is>
      </c>
      <c r="B4383" s="1" t="n">
        <v>44812</v>
      </c>
      <c r="C4383" s="1" t="n">
        <v>45211</v>
      </c>
      <c r="D4383" t="inlineStr">
        <is>
          <t>ÖSTERGÖTLANDS LÄN</t>
        </is>
      </c>
      <c r="E4383" t="inlineStr">
        <is>
          <t>ÖDESHÖG</t>
        </is>
      </c>
      <c r="G4383" t="n">
        <v>2.4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s="2" t="inlineStr"/>
    </row>
    <row r="4384" ht="15" customHeight="1">
      <c r="A4384" t="inlineStr">
        <is>
          <t>A 38235-2022</t>
        </is>
      </c>
      <c r="B4384" s="1" t="n">
        <v>44812</v>
      </c>
      <c r="C4384" s="1" t="n">
        <v>45211</v>
      </c>
      <c r="D4384" t="inlineStr">
        <is>
          <t>ÖSTERGÖTLANDS LÄN</t>
        </is>
      </c>
      <c r="E4384" t="inlineStr">
        <is>
          <t>LINKÖPING</t>
        </is>
      </c>
      <c r="G4384" t="n">
        <v>0.6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s="2" t="inlineStr"/>
    </row>
    <row r="4385" ht="15" customHeight="1">
      <c r="A4385" t="inlineStr">
        <is>
          <t>A 38281-2022</t>
        </is>
      </c>
      <c r="B4385" s="1" t="n">
        <v>44812</v>
      </c>
      <c r="C4385" s="1" t="n">
        <v>45211</v>
      </c>
      <c r="D4385" t="inlineStr">
        <is>
          <t>ÖSTERGÖTLANDS LÄN</t>
        </is>
      </c>
      <c r="E4385" t="inlineStr">
        <is>
          <t>ÖDESHÖG</t>
        </is>
      </c>
      <c r="G4385" t="n">
        <v>0.7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s="2" t="inlineStr"/>
    </row>
    <row r="4386" ht="15" customHeight="1">
      <c r="A4386" t="inlineStr">
        <is>
          <t>A 38626-2022</t>
        </is>
      </c>
      <c r="B4386" s="1" t="n">
        <v>44813</v>
      </c>
      <c r="C4386" s="1" t="n">
        <v>45211</v>
      </c>
      <c r="D4386" t="inlineStr">
        <is>
          <t>ÖSTERGÖTLANDS LÄN</t>
        </is>
      </c>
      <c r="E4386" t="inlineStr">
        <is>
          <t>NORRKÖPING</t>
        </is>
      </c>
      <c r="F4386" t="inlineStr">
        <is>
          <t>Holmen skog AB</t>
        </is>
      </c>
      <c r="G4386" t="n">
        <v>2.5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s="2" t="inlineStr"/>
    </row>
    <row r="4387" ht="15" customHeight="1">
      <c r="A4387" t="inlineStr">
        <is>
          <t>A 38595-2022</t>
        </is>
      </c>
      <c r="B4387" s="1" t="n">
        <v>44813</v>
      </c>
      <c r="C4387" s="1" t="n">
        <v>45211</v>
      </c>
      <c r="D4387" t="inlineStr">
        <is>
          <t>ÖSTERGÖTLANDS LÄN</t>
        </is>
      </c>
      <c r="E4387" t="inlineStr">
        <is>
          <t>SÖDERKÖPING</t>
        </is>
      </c>
      <c r="F4387" t="inlineStr">
        <is>
          <t>Holmen skog AB</t>
        </is>
      </c>
      <c r="G4387" t="n">
        <v>1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s="2" t="inlineStr"/>
    </row>
    <row r="4388" ht="15" customHeight="1">
      <c r="A4388" t="inlineStr">
        <is>
          <t>A 38613-2022</t>
        </is>
      </c>
      <c r="B4388" s="1" t="n">
        <v>44813</v>
      </c>
      <c r="C4388" s="1" t="n">
        <v>45211</v>
      </c>
      <c r="D4388" t="inlineStr">
        <is>
          <t>ÖSTERGÖTLANDS LÄN</t>
        </is>
      </c>
      <c r="E4388" t="inlineStr">
        <is>
          <t>FINSPÅNG</t>
        </is>
      </c>
      <c r="F4388" t="inlineStr">
        <is>
          <t>Holmen skog AB</t>
        </is>
      </c>
      <c r="G4388" t="n">
        <v>0.5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s="2" t="inlineStr"/>
    </row>
    <row r="4389" ht="15" customHeight="1">
      <c r="A4389" t="inlineStr">
        <is>
          <t>A 38750-2022</t>
        </is>
      </c>
      <c r="B4389" s="1" t="n">
        <v>44816</v>
      </c>
      <c r="C4389" s="1" t="n">
        <v>45211</v>
      </c>
      <c r="D4389" t="inlineStr">
        <is>
          <t>ÖSTERGÖTLANDS LÄN</t>
        </is>
      </c>
      <c r="E4389" t="inlineStr">
        <is>
          <t>ÅTVIDABERG</t>
        </is>
      </c>
      <c r="F4389" t="inlineStr">
        <is>
          <t>Övriga Aktiebolag</t>
        </is>
      </c>
      <c r="G4389" t="n">
        <v>4.9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s="2" t="inlineStr"/>
    </row>
    <row r="4390" ht="15" customHeight="1">
      <c r="A4390" t="inlineStr">
        <is>
          <t>A 39072-2022</t>
        </is>
      </c>
      <c r="B4390" s="1" t="n">
        <v>44816</v>
      </c>
      <c r="C4390" s="1" t="n">
        <v>45211</v>
      </c>
      <c r="D4390" t="inlineStr">
        <is>
          <t>ÖSTERGÖTLANDS LÄN</t>
        </is>
      </c>
      <c r="E4390" t="inlineStr">
        <is>
          <t>MOTALA</t>
        </is>
      </c>
      <c r="G4390" t="n">
        <v>2.2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s="2" t="inlineStr"/>
    </row>
    <row r="4391" ht="15" customHeight="1">
      <c r="A4391" t="inlineStr">
        <is>
          <t>A 38935-2022</t>
        </is>
      </c>
      <c r="B4391" s="1" t="n">
        <v>44816</v>
      </c>
      <c r="C4391" s="1" t="n">
        <v>45211</v>
      </c>
      <c r="D4391" t="inlineStr">
        <is>
          <t>ÖSTERGÖTLANDS LÄN</t>
        </is>
      </c>
      <c r="E4391" t="inlineStr">
        <is>
          <t>YDRE</t>
        </is>
      </c>
      <c r="G4391" t="n">
        <v>1.2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s="2" t="inlineStr"/>
    </row>
    <row r="4392" ht="15" customHeight="1">
      <c r="A4392" t="inlineStr">
        <is>
          <t>A 39085-2022</t>
        </is>
      </c>
      <c r="B4392" s="1" t="n">
        <v>44816</v>
      </c>
      <c r="C4392" s="1" t="n">
        <v>45211</v>
      </c>
      <c r="D4392" t="inlineStr">
        <is>
          <t>ÖSTERGÖTLANDS LÄN</t>
        </is>
      </c>
      <c r="E4392" t="inlineStr">
        <is>
          <t>YDRE</t>
        </is>
      </c>
      <c r="G4392" t="n">
        <v>1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s="2" t="inlineStr"/>
    </row>
    <row r="4393" ht="15" customHeight="1">
      <c r="A4393" t="inlineStr">
        <is>
          <t>A 39014-2022</t>
        </is>
      </c>
      <c r="B4393" s="1" t="n">
        <v>44816</v>
      </c>
      <c r="C4393" s="1" t="n">
        <v>45211</v>
      </c>
      <c r="D4393" t="inlineStr">
        <is>
          <t>ÖSTERGÖTLANDS LÄN</t>
        </is>
      </c>
      <c r="E4393" t="inlineStr">
        <is>
          <t>FINSPÅNG</t>
        </is>
      </c>
      <c r="G4393" t="n">
        <v>3.1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s="2" t="inlineStr"/>
    </row>
    <row r="4394" ht="15" customHeight="1">
      <c r="A4394" t="inlineStr">
        <is>
          <t>A 38740-2022</t>
        </is>
      </c>
      <c r="B4394" s="1" t="n">
        <v>44816</v>
      </c>
      <c r="C4394" s="1" t="n">
        <v>45211</v>
      </c>
      <c r="D4394" t="inlineStr">
        <is>
          <t>ÖSTERGÖTLANDS LÄN</t>
        </is>
      </c>
      <c r="E4394" t="inlineStr">
        <is>
          <t>ÅTVIDABERG</t>
        </is>
      </c>
      <c r="F4394" t="inlineStr">
        <is>
          <t>Övriga Aktiebolag</t>
        </is>
      </c>
      <c r="G4394" t="n">
        <v>10.9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s="2" t="inlineStr"/>
    </row>
    <row r="4395" ht="15" customHeight="1">
      <c r="A4395" t="inlineStr">
        <is>
          <t>A 38844-2022</t>
        </is>
      </c>
      <c r="B4395" s="1" t="n">
        <v>44816</v>
      </c>
      <c r="C4395" s="1" t="n">
        <v>45211</v>
      </c>
      <c r="D4395" t="inlineStr">
        <is>
          <t>ÖSTERGÖTLANDS LÄN</t>
        </is>
      </c>
      <c r="E4395" t="inlineStr">
        <is>
          <t>YDRE</t>
        </is>
      </c>
      <c r="G4395" t="n">
        <v>1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s="2" t="inlineStr"/>
    </row>
    <row r="4396" ht="15" customHeight="1">
      <c r="A4396" t="inlineStr">
        <is>
          <t>A 39078-2022</t>
        </is>
      </c>
      <c r="B4396" s="1" t="n">
        <v>44817</v>
      </c>
      <c r="C4396" s="1" t="n">
        <v>45211</v>
      </c>
      <c r="D4396" t="inlineStr">
        <is>
          <t>ÖSTERGÖTLANDS LÄN</t>
        </is>
      </c>
      <c r="E4396" t="inlineStr">
        <is>
          <t>FINSPÅNG</t>
        </is>
      </c>
      <c r="F4396" t="inlineStr">
        <is>
          <t>Holmen skog AB</t>
        </is>
      </c>
      <c r="G4396" t="n">
        <v>1.5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s="2" t="inlineStr"/>
    </row>
    <row r="4397" ht="15" customHeight="1">
      <c r="A4397" t="inlineStr">
        <is>
          <t>A 39356-2022</t>
        </is>
      </c>
      <c r="B4397" s="1" t="n">
        <v>44817</v>
      </c>
      <c r="C4397" s="1" t="n">
        <v>45211</v>
      </c>
      <c r="D4397" t="inlineStr">
        <is>
          <t>ÖSTERGÖTLANDS LÄN</t>
        </is>
      </c>
      <c r="E4397" t="inlineStr">
        <is>
          <t>FINSPÅNG</t>
        </is>
      </c>
      <c r="G4397" t="n">
        <v>2.6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s="2" t="inlineStr"/>
    </row>
    <row r="4398" ht="15" customHeight="1">
      <c r="A4398" t="inlineStr">
        <is>
          <t>A 39197-2022</t>
        </is>
      </c>
      <c r="B4398" s="1" t="n">
        <v>44817</v>
      </c>
      <c r="C4398" s="1" t="n">
        <v>45211</v>
      </c>
      <c r="D4398" t="inlineStr">
        <is>
          <t>ÖSTERGÖTLANDS LÄN</t>
        </is>
      </c>
      <c r="E4398" t="inlineStr">
        <is>
          <t>NORRKÖPING</t>
        </is>
      </c>
      <c r="F4398" t="inlineStr">
        <is>
          <t>Holmen skog AB</t>
        </is>
      </c>
      <c r="G4398" t="n">
        <v>0.9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s="2" t="inlineStr"/>
    </row>
    <row r="4399" ht="15" customHeight="1">
      <c r="A4399" t="inlineStr">
        <is>
          <t>A 39205-2022</t>
        </is>
      </c>
      <c r="B4399" s="1" t="n">
        <v>44817</v>
      </c>
      <c r="C4399" s="1" t="n">
        <v>45211</v>
      </c>
      <c r="D4399" t="inlineStr">
        <is>
          <t>ÖSTERGÖTLANDS LÄN</t>
        </is>
      </c>
      <c r="E4399" t="inlineStr">
        <is>
          <t>FINSPÅNG</t>
        </is>
      </c>
      <c r="F4399" t="inlineStr">
        <is>
          <t>Holmen skog AB</t>
        </is>
      </c>
      <c r="G4399" t="n">
        <v>1.1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s="2" t="inlineStr"/>
    </row>
    <row r="4400" ht="15" customHeight="1">
      <c r="A4400" t="inlineStr">
        <is>
          <t>A 39168-2022</t>
        </is>
      </c>
      <c r="B4400" s="1" t="n">
        <v>44817</v>
      </c>
      <c r="C4400" s="1" t="n">
        <v>45211</v>
      </c>
      <c r="D4400" t="inlineStr">
        <is>
          <t>ÖSTERGÖTLANDS LÄN</t>
        </is>
      </c>
      <c r="E4400" t="inlineStr">
        <is>
          <t>FINSPÅNG</t>
        </is>
      </c>
      <c r="G4400" t="n">
        <v>10.8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s="2" t="inlineStr"/>
    </row>
    <row r="4401" ht="15" customHeight="1">
      <c r="A4401" t="inlineStr">
        <is>
          <t>A 40518-2022</t>
        </is>
      </c>
      <c r="B4401" s="1" t="n">
        <v>44819</v>
      </c>
      <c r="C4401" s="1" t="n">
        <v>45211</v>
      </c>
      <c r="D4401" t="inlineStr">
        <is>
          <t>ÖSTERGÖTLANDS LÄN</t>
        </is>
      </c>
      <c r="E4401" t="inlineStr">
        <is>
          <t>MOTALA</t>
        </is>
      </c>
      <c r="G4401" t="n">
        <v>2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s="2" t="inlineStr"/>
    </row>
    <row r="4402" ht="15" customHeight="1">
      <c r="A4402" t="inlineStr">
        <is>
          <t>A 39807-2022</t>
        </is>
      </c>
      <c r="B4402" s="1" t="n">
        <v>44819</v>
      </c>
      <c r="C4402" s="1" t="n">
        <v>45211</v>
      </c>
      <c r="D4402" t="inlineStr">
        <is>
          <t>ÖSTERGÖTLANDS LÄN</t>
        </is>
      </c>
      <c r="E4402" t="inlineStr">
        <is>
          <t>BOXHOLM</t>
        </is>
      </c>
      <c r="G4402" t="n">
        <v>0.6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s="2" t="inlineStr"/>
    </row>
    <row r="4403" ht="15" customHeight="1">
      <c r="A4403" t="inlineStr">
        <is>
          <t>A 39917-2022</t>
        </is>
      </c>
      <c r="B4403" s="1" t="n">
        <v>44819</v>
      </c>
      <c r="C4403" s="1" t="n">
        <v>45211</v>
      </c>
      <c r="D4403" t="inlineStr">
        <is>
          <t>ÖSTERGÖTLANDS LÄN</t>
        </is>
      </c>
      <c r="E4403" t="inlineStr">
        <is>
          <t>FINSPÅNG</t>
        </is>
      </c>
      <c r="G4403" t="n">
        <v>0.5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s="2" t="inlineStr"/>
    </row>
    <row r="4404" ht="15" customHeight="1">
      <c r="A4404" t="inlineStr">
        <is>
          <t>A 40528-2022</t>
        </is>
      </c>
      <c r="B4404" s="1" t="n">
        <v>44819</v>
      </c>
      <c r="C4404" s="1" t="n">
        <v>45211</v>
      </c>
      <c r="D4404" t="inlineStr">
        <is>
          <t>ÖSTERGÖTLANDS LÄN</t>
        </is>
      </c>
      <c r="E4404" t="inlineStr">
        <is>
          <t>MOTALA</t>
        </is>
      </c>
      <c r="G4404" t="n">
        <v>1.7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s="2" t="inlineStr"/>
    </row>
    <row r="4405" ht="15" customHeight="1">
      <c r="A4405" t="inlineStr">
        <is>
          <t>A 40538-2022</t>
        </is>
      </c>
      <c r="B4405" s="1" t="n">
        <v>44819</v>
      </c>
      <c r="C4405" s="1" t="n">
        <v>45211</v>
      </c>
      <c r="D4405" t="inlineStr">
        <is>
          <t>ÖSTERGÖTLANDS LÄN</t>
        </is>
      </c>
      <c r="E4405" t="inlineStr">
        <is>
          <t>MOTALA</t>
        </is>
      </c>
      <c r="G4405" t="n">
        <v>1.8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s="2" t="inlineStr"/>
    </row>
    <row r="4406" ht="15" customHeight="1">
      <c r="A4406" t="inlineStr">
        <is>
          <t>A 41257-2022</t>
        </is>
      </c>
      <c r="B4406" s="1" t="n">
        <v>44820</v>
      </c>
      <c r="C4406" s="1" t="n">
        <v>45211</v>
      </c>
      <c r="D4406" t="inlineStr">
        <is>
          <t>ÖSTERGÖTLANDS LÄN</t>
        </is>
      </c>
      <c r="E4406" t="inlineStr">
        <is>
          <t>ÖDESHÖG</t>
        </is>
      </c>
      <c r="G4406" t="n">
        <v>5.1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s="2" t="inlineStr"/>
    </row>
    <row r="4407" ht="15" customHeight="1">
      <c r="A4407" t="inlineStr">
        <is>
          <t>A 40002-2022</t>
        </is>
      </c>
      <c r="B4407" s="1" t="n">
        <v>44820</v>
      </c>
      <c r="C4407" s="1" t="n">
        <v>45211</v>
      </c>
      <c r="D4407" t="inlineStr">
        <is>
          <t>ÖSTERGÖTLANDS LÄN</t>
        </is>
      </c>
      <c r="E4407" t="inlineStr">
        <is>
          <t>KINDA</t>
        </is>
      </c>
      <c r="G4407" t="n">
        <v>6.9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s="2" t="inlineStr"/>
    </row>
    <row r="4408" ht="15" customHeight="1">
      <c r="A4408" t="inlineStr">
        <is>
          <t>A 40021-2022</t>
        </is>
      </c>
      <c r="B4408" s="1" t="n">
        <v>44820</v>
      </c>
      <c r="C4408" s="1" t="n">
        <v>45211</v>
      </c>
      <c r="D4408" t="inlineStr">
        <is>
          <t>ÖSTERGÖTLANDS LÄN</t>
        </is>
      </c>
      <c r="E4408" t="inlineStr">
        <is>
          <t>FINSPÅNG</t>
        </is>
      </c>
      <c r="F4408" t="inlineStr">
        <is>
          <t>Holmen skog AB</t>
        </is>
      </c>
      <c r="G4408" t="n">
        <v>2.1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s="2" t="inlineStr"/>
    </row>
    <row r="4409" ht="15" customHeight="1">
      <c r="A4409" t="inlineStr">
        <is>
          <t>A 39987-2022</t>
        </is>
      </c>
      <c r="B4409" s="1" t="n">
        <v>44820</v>
      </c>
      <c r="C4409" s="1" t="n">
        <v>45211</v>
      </c>
      <c r="D4409" t="inlineStr">
        <is>
          <t>ÖSTERGÖTLANDS LÄN</t>
        </is>
      </c>
      <c r="E4409" t="inlineStr">
        <is>
          <t>NORRKÖPING</t>
        </is>
      </c>
      <c r="G4409" t="n">
        <v>4.7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s="2" t="inlineStr"/>
    </row>
    <row r="4410" ht="15" customHeight="1">
      <c r="A4410" t="inlineStr">
        <is>
          <t>A 40070-2022</t>
        </is>
      </c>
      <c r="B4410" s="1" t="n">
        <v>44820</v>
      </c>
      <c r="C4410" s="1" t="n">
        <v>45211</v>
      </c>
      <c r="D4410" t="inlineStr">
        <is>
          <t>ÖSTERGÖTLANDS LÄN</t>
        </is>
      </c>
      <c r="E4410" t="inlineStr">
        <is>
          <t>YDRE</t>
        </is>
      </c>
      <c r="G4410" t="n">
        <v>17.3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s="2" t="inlineStr"/>
    </row>
    <row r="4411" ht="15" customHeight="1">
      <c r="A4411" t="inlineStr">
        <is>
          <t>A 40527-2022</t>
        </is>
      </c>
      <c r="B4411" s="1" t="n">
        <v>44823</v>
      </c>
      <c r="C4411" s="1" t="n">
        <v>45211</v>
      </c>
      <c r="D4411" t="inlineStr">
        <is>
          <t>ÖSTERGÖTLANDS LÄN</t>
        </is>
      </c>
      <c r="E4411" t="inlineStr">
        <is>
          <t>LINKÖPING</t>
        </is>
      </c>
      <c r="G4411" t="n">
        <v>1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s="2" t="inlineStr"/>
    </row>
    <row r="4412" ht="15" customHeight="1">
      <c r="A4412" t="inlineStr">
        <is>
          <t>A 40810-2022</t>
        </is>
      </c>
      <c r="B4412" s="1" t="n">
        <v>44824</v>
      </c>
      <c r="C4412" s="1" t="n">
        <v>45211</v>
      </c>
      <c r="D4412" t="inlineStr">
        <is>
          <t>ÖSTERGÖTLANDS LÄN</t>
        </is>
      </c>
      <c r="E4412" t="inlineStr">
        <is>
          <t>LINKÖPING</t>
        </is>
      </c>
      <c r="G4412" t="n">
        <v>2.8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s="2" t="inlineStr"/>
    </row>
    <row r="4413" ht="15" customHeight="1">
      <c r="A4413" t="inlineStr">
        <is>
          <t>A 40776-2022</t>
        </is>
      </c>
      <c r="B4413" s="1" t="n">
        <v>44824</v>
      </c>
      <c r="C4413" s="1" t="n">
        <v>45211</v>
      </c>
      <c r="D4413" t="inlineStr">
        <is>
          <t>ÖSTERGÖTLANDS LÄN</t>
        </is>
      </c>
      <c r="E4413" t="inlineStr">
        <is>
          <t>MOTALA</t>
        </is>
      </c>
      <c r="G4413" t="n">
        <v>1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s="2" t="inlineStr"/>
    </row>
    <row r="4414" ht="15" customHeight="1">
      <c r="A4414" t="inlineStr">
        <is>
          <t>A 40975-2022</t>
        </is>
      </c>
      <c r="B4414" s="1" t="n">
        <v>44825</v>
      </c>
      <c r="C4414" s="1" t="n">
        <v>45211</v>
      </c>
      <c r="D4414" t="inlineStr">
        <is>
          <t>ÖSTERGÖTLANDS LÄN</t>
        </is>
      </c>
      <c r="E4414" t="inlineStr">
        <is>
          <t>NORRKÖPING</t>
        </is>
      </c>
      <c r="G4414" t="n">
        <v>0.6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s="2" t="inlineStr"/>
    </row>
    <row r="4415" ht="15" customHeight="1">
      <c r="A4415" t="inlineStr">
        <is>
          <t>A 40910-2022</t>
        </is>
      </c>
      <c r="B4415" s="1" t="n">
        <v>44825</v>
      </c>
      <c r="C4415" s="1" t="n">
        <v>45211</v>
      </c>
      <c r="D4415" t="inlineStr">
        <is>
          <t>ÖSTERGÖTLANDS LÄN</t>
        </is>
      </c>
      <c r="E4415" t="inlineStr">
        <is>
          <t>NORRKÖPING</t>
        </is>
      </c>
      <c r="G4415" t="n">
        <v>1.2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s="2" t="inlineStr"/>
    </row>
    <row r="4416" ht="15" customHeight="1">
      <c r="A4416" t="inlineStr">
        <is>
          <t>A 41083-2022</t>
        </is>
      </c>
      <c r="B4416" s="1" t="n">
        <v>44825</v>
      </c>
      <c r="C4416" s="1" t="n">
        <v>45211</v>
      </c>
      <c r="D4416" t="inlineStr">
        <is>
          <t>ÖSTERGÖTLANDS LÄN</t>
        </is>
      </c>
      <c r="E4416" t="inlineStr">
        <is>
          <t>NORRKÖPING</t>
        </is>
      </c>
      <c r="G4416" t="n">
        <v>1.9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s="2" t="inlineStr"/>
    </row>
    <row r="4417" ht="15" customHeight="1">
      <c r="A4417" t="inlineStr">
        <is>
          <t>A 41223-2022</t>
        </is>
      </c>
      <c r="B4417" s="1" t="n">
        <v>44826</v>
      </c>
      <c r="C4417" s="1" t="n">
        <v>45211</v>
      </c>
      <c r="D4417" t="inlineStr">
        <is>
          <t>ÖSTERGÖTLANDS LÄN</t>
        </is>
      </c>
      <c r="E4417" t="inlineStr">
        <is>
          <t>NORRKÖPING</t>
        </is>
      </c>
      <c r="G4417" t="n">
        <v>2.2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s="2" t="inlineStr"/>
    </row>
    <row r="4418" ht="15" customHeight="1">
      <c r="A4418" t="inlineStr">
        <is>
          <t>A 41300-2022</t>
        </is>
      </c>
      <c r="B4418" s="1" t="n">
        <v>44826</v>
      </c>
      <c r="C4418" s="1" t="n">
        <v>45211</v>
      </c>
      <c r="D4418" t="inlineStr">
        <is>
          <t>ÖSTERGÖTLANDS LÄN</t>
        </is>
      </c>
      <c r="E4418" t="inlineStr">
        <is>
          <t>FINSPÅNG</t>
        </is>
      </c>
      <c r="F4418" t="inlineStr">
        <is>
          <t>Holmen skog AB</t>
        </is>
      </c>
      <c r="G4418" t="n">
        <v>1.6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s="2" t="inlineStr"/>
    </row>
    <row r="4419" ht="15" customHeight="1">
      <c r="A4419" t="inlineStr">
        <is>
          <t>A 41426-2022</t>
        </is>
      </c>
      <c r="B4419" s="1" t="n">
        <v>44826</v>
      </c>
      <c r="C4419" s="1" t="n">
        <v>45211</v>
      </c>
      <c r="D4419" t="inlineStr">
        <is>
          <t>ÖSTERGÖTLANDS LÄN</t>
        </is>
      </c>
      <c r="E4419" t="inlineStr">
        <is>
          <t>LINKÖPING</t>
        </is>
      </c>
      <c r="G4419" t="n">
        <v>3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s="2" t="inlineStr"/>
    </row>
    <row r="4420" ht="15" customHeight="1">
      <c r="A4420" t="inlineStr">
        <is>
          <t>A 41364-2022</t>
        </is>
      </c>
      <c r="B4420" s="1" t="n">
        <v>44826</v>
      </c>
      <c r="C4420" s="1" t="n">
        <v>45211</v>
      </c>
      <c r="D4420" t="inlineStr">
        <is>
          <t>ÖSTERGÖTLANDS LÄN</t>
        </is>
      </c>
      <c r="E4420" t="inlineStr">
        <is>
          <t>ÅTVIDABERG</t>
        </is>
      </c>
      <c r="G4420" t="n">
        <v>1.3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s="2" t="inlineStr"/>
    </row>
    <row r="4421" ht="15" customHeight="1">
      <c r="A4421" t="inlineStr">
        <is>
          <t>A 41450-2022</t>
        </is>
      </c>
      <c r="B4421" s="1" t="n">
        <v>44826</v>
      </c>
      <c r="C4421" s="1" t="n">
        <v>45211</v>
      </c>
      <c r="D4421" t="inlineStr">
        <is>
          <t>ÖSTERGÖTLANDS LÄN</t>
        </is>
      </c>
      <c r="E4421" t="inlineStr">
        <is>
          <t>KINDA</t>
        </is>
      </c>
      <c r="G4421" t="n">
        <v>1.3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s="2" t="inlineStr"/>
    </row>
    <row r="4422" ht="15" customHeight="1">
      <c r="A4422" t="inlineStr">
        <is>
          <t>A 41531-2022</t>
        </is>
      </c>
      <c r="B4422" s="1" t="n">
        <v>44827</v>
      </c>
      <c r="C4422" s="1" t="n">
        <v>45211</v>
      </c>
      <c r="D4422" t="inlineStr">
        <is>
          <t>ÖSTERGÖTLANDS LÄN</t>
        </is>
      </c>
      <c r="E4422" t="inlineStr">
        <is>
          <t>YDRE</t>
        </is>
      </c>
      <c r="F4422" t="inlineStr">
        <is>
          <t>Sveaskog</t>
        </is>
      </c>
      <c r="G4422" t="n">
        <v>4.2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s="2" t="inlineStr"/>
    </row>
    <row r="4423" ht="15" customHeight="1">
      <c r="A4423" t="inlineStr">
        <is>
          <t>A 41577-2022</t>
        </is>
      </c>
      <c r="B4423" s="1" t="n">
        <v>44827</v>
      </c>
      <c r="C4423" s="1" t="n">
        <v>45211</v>
      </c>
      <c r="D4423" t="inlineStr">
        <is>
          <t>ÖSTERGÖTLANDS LÄN</t>
        </is>
      </c>
      <c r="E4423" t="inlineStr">
        <is>
          <t>ÅTVIDABERG</t>
        </is>
      </c>
      <c r="G4423" t="n">
        <v>0.6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s="2" t="inlineStr"/>
    </row>
    <row r="4424" ht="15" customHeight="1">
      <c r="A4424" t="inlineStr">
        <is>
          <t>A 41679-2022</t>
        </is>
      </c>
      <c r="B4424" s="1" t="n">
        <v>44827</v>
      </c>
      <c r="C4424" s="1" t="n">
        <v>45211</v>
      </c>
      <c r="D4424" t="inlineStr">
        <is>
          <t>ÖSTERGÖTLANDS LÄN</t>
        </is>
      </c>
      <c r="E4424" t="inlineStr">
        <is>
          <t>FINSPÅNG</t>
        </is>
      </c>
      <c r="F4424" t="inlineStr">
        <is>
          <t>Holmen skog AB</t>
        </is>
      </c>
      <c r="G4424" t="n">
        <v>1.3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s="2" t="inlineStr"/>
    </row>
    <row r="4425" ht="15" customHeight="1">
      <c r="A4425" t="inlineStr">
        <is>
          <t>A 41704-2022</t>
        </is>
      </c>
      <c r="B4425" s="1" t="n">
        <v>44827</v>
      </c>
      <c r="C4425" s="1" t="n">
        <v>45211</v>
      </c>
      <c r="D4425" t="inlineStr">
        <is>
          <t>ÖSTERGÖTLANDS LÄN</t>
        </is>
      </c>
      <c r="E4425" t="inlineStr">
        <is>
          <t>FINSPÅNG</t>
        </is>
      </c>
      <c r="F4425" t="inlineStr">
        <is>
          <t>Holmen skog AB</t>
        </is>
      </c>
      <c r="G4425" t="n">
        <v>2.6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s="2" t="inlineStr"/>
    </row>
    <row r="4426" ht="15" customHeight="1">
      <c r="A4426" t="inlineStr">
        <is>
          <t>A 41508-2022</t>
        </is>
      </c>
      <c r="B4426" s="1" t="n">
        <v>44827</v>
      </c>
      <c r="C4426" s="1" t="n">
        <v>45211</v>
      </c>
      <c r="D4426" t="inlineStr">
        <is>
          <t>ÖSTERGÖTLANDS LÄN</t>
        </is>
      </c>
      <c r="E4426" t="inlineStr">
        <is>
          <t>YDRE</t>
        </is>
      </c>
      <c r="F4426" t="inlineStr">
        <is>
          <t>Sveaskog</t>
        </is>
      </c>
      <c r="G4426" t="n">
        <v>0.7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s="2" t="inlineStr"/>
    </row>
    <row r="4427" ht="15" customHeight="1">
      <c r="A4427" t="inlineStr">
        <is>
          <t>A 42001-2022</t>
        </is>
      </c>
      <c r="B4427" s="1" t="n">
        <v>44827</v>
      </c>
      <c r="C4427" s="1" t="n">
        <v>45211</v>
      </c>
      <c r="D4427" t="inlineStr">
        <is>
          <t>ÖSTERGÖTLANDS LÄN</t>
        </is>
      </c>
      <c r="E4427" t="inlineStr">
        <is>
          <t>MOTALA</t>
        </is>
      </c>
      <c r="F4427" t="inlineStr">
        <is>
          <t>Övriga statliga verk och myndigheter</t>
        </is>
      </c>
      <c r="G4427" t="n">
        <v>17.5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s="2" t="inlineStr"/>
    </row>
    <row r="4428" ht="15" customHeight="1">
      <c r="A4428" t="inlineStr">
        <is>
          <t>A 42029-2022</t>
        </is>
      </c>
      <c r="B4428" s="1" t="n">
        <v>44830</v>
      </c>
      <c r="C4428" s="1" t="n">
        <v>45211</v>
      </c>
      <c r="D4428" t="inlineStr">
        <is>
          <t>ÖSTERGÖTLANDS LÄN</t>
        </is>
      </c>
      <c r="E4428" t="inlineStr">
        <is>
          <t>KINDA</t>
        </is>
      </c>
      <c r="G4428" t="n">
        <v>2.4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s="2" t="inlineStr"/>
    </row>
    <row r="4429" ht="15" customHeight="1">
      <c r="A4429" t="inlineStr">
        <is>
          <t>A 42054-2022</t>
        </is>
      </c>
      <c r="B4429" s="1" t="n">
        <v>44830</v>
      </c>
      <c r="C4429" s="1" t="n">
        <v>45211</v>
      </c>
      <c r="D4429" t="inlineStr">
        <is>
          <t>ÖSTERGÖTLANDS LÄN</t>
        </is>
      </c>
      <c r="E4429" t="inlineStr">
        <is>
          <t>LINKÖPING</t>
        </is>
      </c>
      <c r="G4429" t="n">
        <v>1.7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s="2" t="inlineStr"/>
    </row>
    <row r="4430" ht="15" customHeight="1">
      <c r="A4430" t="inlineStr">
        <is>
          <t>A 42401-2022</t>
        </is>
      </c>
      <c r="B4430" s="1" t="n">
        <v>44830</v>
      </c>
      <c r="C4430" s="1" t="n">
        <v>45211</v>
      </c>
      <c r="D4430" t="inlineStr">
        <is>
          <t>ÖSTERGÖTLANDS LÄN</t>
        </is>
      </c>
      <c r="E4430" t="inlineStr">
        <is>
          <t>VALDEMARSVIK</t>
        </is>
      </c>
      <c r="G4430" t="n">
        <v>0.9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s="2" t="inlineStr"/>
    </row>
    <row r="4431" ht="15" customHeight="1">
      <c r="A4431" t="inlineStr">
        <is>
          <t>A 42059-2022</t>
        </is>
      </c>
      <c r="B4431" s="1" t="n">
        <v>44830</v>
      </c>
      <c r="C4431" s="1" t="n">
        <v>45211</v>
      </c>
      <c r="D4431" t="inlineStr">
        <is>
          <t>ÖSTERGÖTLANDS LÄN</t>
        </is>
      </c>
      <c r="E4431" t="inlineStr">
        <is>
          <t>ÅTVIDABERG</t>
        </is>
      </c>
      <c r="G4431" t="n">
        <v>0.5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s="2" t="inlineStr"/>
    </row>
    <row r="4432" ht="15" customHeight="1">
      <c r="A4432" t="inlineStr">
        <is>
          <t>A 41928-2022</t>
        </is>
      </c>
      <c r="B4432" s="1" t="n">
        <v>44830</v>
      </c>
      <c r="C4432" s="1" t="n">
        <v>45211</v>
      </c>
      <c r="D4432" t="inlineStr">
        <is>
          <t>ÖSTERGÖTLANDS LÄN</t>
        </is>
      </c>
      <c r="E4432" t="inlineStr">
        <is>
          <t>MOTALA</t>
        </is>
      </c>
      <c r="F4432" t="inlineStr">
        <is>
          <t>Sveaskog</t>
        </is>
      </c>
      <c r="G4432" t="n">
        <v>1.3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s="2" t="inlineStr"/>
    </row>
    <row r="4433" ht="15" customHeight="1">
      <c r="A4433" t="inlineStr">
        <is>
          <t>A 42056-2022</t>
        </is>
      </c>
      <c r="B4433" s="1" t="n">
        <v>44830</v>
      </c>
      <c r="C4433" s="1" t="n">
        <v>45211</v>
      </c>
      <c r="D4433" t="inlineStr">
        <is>
          <t>ÖSTERGÖTLANDS LÄN</t>
        </is>
      </c>
      <c r="E4433" t="inlineStr">
        <is>
          <t>LINKÖPING</t>
        </is>
      </c>
      <c r="G4433" t="n">
        <v>2.5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s="2" t="inlineStr"/>
    </row>
    <row r="4434" ht="15" customHeight="1">
      <c r="A4434" t="inlineStr">
        <is>
          <t>A 42332-2022</t>
        </is>
      </c>
      <c r="B4434" s="1" t="n">
        <v>44830</v>
      </c>
      <c r="C4434" s="1" t="n">
        <v>45211</v>
      </c>
      <c r="D4434" t="inlineStr">
        <is>
          <t>ÖSTERGÖTLANDS LÄN</t>
        </is>
      </c>
      <c r="E4434" t="inlineStr">
        <is>
          <t>LINKÖPING</t>
        </is>
      </c>
      <c r="G4434" t="n">
        <v>1.2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s="2" t="inlineStr"/>
    </row>
    <row r="4435" ht="15" customHeight="1">
      <c r="A4435" t="inlineStr">
        <is>
          <t>A 42515-2022</t>
        </is>
      </c>
      <c r="B4435" s="1" t="n">
        <v>44831</v>
      </c>
      <c r="C4435" s="1" t="n">
        <v>45211</v>
      </c>
      <c r="D4435" t="inlineStr">
        <is>
          <t>ÖSTERGÖTLANDS LÄN</t>
        </is>
      </c>
      <c r="E4435" t="inlineStr">
        <is>
          <t>FINSPÅNG</t>
        </is>
      </c>
      <c r="F4435" t="inlineStr">
        <is>
          <t>Holmen skog AB</t>
        </is>
      </c>
      <c r="G4435" t="n">
        <v>0.4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s="2" t="inlineStr"/>
    </row>
    <row r="4436" ht="15" customHeight="1">
      <c r="A4436" t="inlineStr">
        <is>
          <t>A 42564-2022</t>
        </is>
      </c>
      <c r="B4436" s="1" t="n">
        <v>44831</v>
      </c>
      <c r="C4436" s="1" t="n">
        <v>45211</v>
      </c>
      <c r="D4436" t="inlineStr">
        <is>
          <t>ÖSTERGÖTLANDS LÄN</t>
        </is>
      </c>
      <c r="E4436" t="inlineStr">
        <is>
          <t>FINSPÅNG</t>
        </is>
      </c>
      <c r="F4436" t="inlineStr">
        <is>
          <t>Holmen skog AB</t>
        </is>
      </c>
      <c r="G4436" t="n">
        <v>1.1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s="2" t="inlineStr"/>
    </row>
    <row r="4437" ht="15" customHeight="1">
      <c r="A4437" t="inlineStr">
        <is>
          <t>A 42432-2022</t>
        </is>
      </c>
      <c r="B4437" s="1" t="n">
        <v>44831</v>
      </c>
      <c r="C4437" s="1" t="n">
        <v>45211</v>
      </c>
      <c r="D4437" t="inlineStr">
        <is>
          <t>ÖSTERGÖTLANDS LÄN</t>
        </is>
      </c>
      <c r="E4437" t="inlineStr">
        <is>
          <t>SÖDERKÖPING</t>
        </is>
      </c>
      <c r="G4437" t="n">
        <v>5.9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s="2" t="inlineStr"/>
    </row>
    <row r="4438" ht="15" customHeight="1">
      <c r="A4438" t="inlineStr">
        <is>
          <t>A 42540-2022</t>
        </is>
      </c>
      <c r="B4438" s="1" t="n">
        <v>44831</v>
      </c>
      <c r="C4438" s="1" t="n">
        <v>45211</v>
      </c>
      <c r="D4438" t="inlineStr">
        <is>
          <t>ÖSTERGÖTLANDS LÄN</t>
        </is>
      </c>
      <c r="E4438" t="inlineStr">
        <is>
          <t>FINSPÅNG</t>
        </is>
      </c>
      <c r="F4438" t="inlineStr">
        <is>
          <t>Holmen skog AB</t>
        </is>
      </c>
      <c r="G4438" t="n">
        <v>1.5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s="2" t="inlineStr"/>
    </row>
    <row r="4439" ht="15" customHeight="1">
      <c r="A4439" t="inlineStr">
        <is>
          <t>A 42426-2022</t>
        </is>
      </c>
      <c r="B4439" s="1" t="n">
        <v>44831</v>
      </c>
      <c r="C4439" s="1" t="n">
        <v>45211</v>
      </c>
      <c r="D4439" t="inlineStr">
        <is>
          <t>ÖSTERGÖTLANDS LÄN</t>
        </is>
      </c>
      <c r="E4439" t="inlineStr">
        <is>
          <t>SÖDERKÖPING</t>
        </is>
      </c>
      <c r="G4439" t="n">
        <v>1.1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s="2" t="inlineStr"/>
    </row>
    <row r="4440" ht="15" customHeight="1">
      <c r="A4440" t="inlineStr">
        <is>
          <t>A 42609-2022</t>
        </is>
      </c>
      <c r="B4440" s="1" t="n">
        <v>44831</v>
      </c>
      <c r="C4440" s="1" t="n">
        <v>45211</v>
      </c>
      <c r="D4440" t="inlineStr">
        <is>
          <t>ÖSTERGÖTLANDS LÄN</t>
        </is>
      </c>
      <c r="E4440" t="inlineStr">
        <is>
          <t>ÅTVIDABERG</t>
        </is>
      </c>
      <c r="G4440" t="n">
        <v>0.3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s="2" t="inlineStr"/>
    </row>
    <row r="4441" ht="15" customHeight="1">
      <c r="A4441" t="inlineStr">
        <is>
          <t>A 42819-2022</t>
        </is>
      </c>
      <c r="B4441" s="1" t="n">
        <v>44832</v>
      </c>
      <c r="C4441" s="1" t="n">
        <v>45211</v>
      </c>
      <c r="D4441" t="inlineStr">
        <is>
          <t>ÖSTERGÖTLANDS LÄN</t>
        </is>
      </c>
      <c r="E4441" t="inlineStr">
        <is>
          <t>MOTALA</t>
        </is>
      </c>
      <c r="G4441" t="n">
        <v>4.7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s="2" t="inlineStr"/>
    </row>
    <row r="4442" ht="15" customHeight="1">
      <c r="A4442" t="inlineStr">
        <is>
          <t>A 42670-2022</t>
        </is>
      </c>
      <c r="B4442" s="1" t="n">
        <v>44832</v>
      </c>
      <c r="C4442" s="1" t="n">
        <v>45211</v>
      </c>
      <c r="D4442" t="inlineStr">
        <is>
          <t>ÖSTERGÖTLANDS LÄN</t>
        </is>
      </c>
      <c r="E4442" t="inlineStr">
        <is>
          <t>ÅTVIDABERG</t>
        </is>
      </c>
      <c r="G4442" t="n">
        <v>0.7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s="2" t="inlineStr"/>
    </row>
    <row r="4443" ht="15" customHeight="1">
      <c r="A4443" t="inlineStr">
        <is>
          <t>A 43225-2022</t>
        </is>
      </c>
      <c r="B4443" s="1" t="n">
        <v>44833</v>
      </c>
      <c r="C4443" s="1" t="n">
        <v>45211</v>
      </c>
      <c r="D4443" t="inlineStr">
        <is>
          <t>ÖSTERGÖTLANDS LÄN</t>
        </is>
      </c>
      <c r="E4443" t="inlineStr">
        <is>
          <t>VALDEMARSVIK</t>
        </is>
      </c>
      <c r="G4443" t="n">
        <v>0.6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s="2" t="inlineStr"/>
    </row>
    <row r="4444" ht="15" customHeight="1">
      <c r="A4444" t="inlineStr">
        <is>
          <t>A 43051-2022</t>
        </is>
      </c>
      <c r="B4444" s="1" t="n">
        <v>44833</v>
      </c>
      <c r="C4444" s="1" t="n">
        <v>45211</v>
      </c>
      <c r="D4444" t="inlineStr">
        <is>
          <t>ÖSTERGÖTLANDS LÄN</t>
        </is>
      </c>
      <c r="E4444" t="inlineStr">
        <is>
          <t>FINSPÅNG</t>
        </is>
      </c>
      <c r="F4444" t="inlineStr">
        <is>
          <t>Holmen skog AB</t>
        </is>
      </c>
      <c r="G4444" t="n">
        <v>1.2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s="2" t="inlineStr"/>
    </row>
    <row r="4445" ht="15" customHeight="1">
      <c r="A4445" t="inlineStr">
        <is>
          <t>A 43221-2022</t>
        </is>
      </c>
      <c r="B4445" s="1" t="n">
        <v>44833</v>
      </c>
      <c r="C4445" s="1" t="n">
        <v>45211</v>
      </c>
      <c r="D4445" t="inlineStr">
        <is>
          <t>ÖSTERGÖTLANDS LÄN</t>
        </is>
      </c>
      <c r="E4445" t="inlineStr">
        <is>
          <t>FINSPÅNG</t>
        </is>
      </c>
      <c r="F4445" t="inlineStr">
        <is>
          <t>Övriga Aktiebolag</t>
        </is>
      </c>
      <c r="G4445" t="n">
        <v>1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s="2" t="inlineStr"/>
    </row>
    <row r="4446" ht="15" customHeight="1">
      <c r="A4446" t="inlineStr">
        <is>
          <t>A 43211-2022</t>
        </is>
      </c>
      <c r="B4446" s="1" t="n">
        <v>44833</v>
      </c>
      <c r="C4446" s="1" t="n">
        <v>45211</v>
      </c>
      <c r="D4446" t="inlineStr">
        <is>
          <t>ÖSTERGÖTLANDS LÄN</t>
        </is>
      </c>
      <c r="E4446" t="inlineStr">
        <is>
          <t>FINSPÅNG</t>
        </is>
      </c>
      <c r="F4446" t="inlineStr">
        <is>
          <t>Övriga Aktiebolag</t>
        </is>
      </c>
      <c r="G4446" t="n">
        <v>2.7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s="2" t="inlineStr"/>
    </row>
    <row r="4447" ht="15" customHeight="1">
      <c r="A4447" t="inlineStr">
        <is>
          <t>A 43219-2022</t>
        </is>
      </c>
      <c r="B4447" s="1" t="n">
        <v>44834</v>
      </c>
      <c r="C4447" s="1" t="n">
        <v>45211</v>
      </c>
      <c r="D4447" t="inlineStr">
        <is>
          <t>ÖSTERGÖTLANDS LÄN</t>
        </is>
      </c>
      <c r="E4447" t="inlineStr">
        <is>
          <t>BOXHOLM</t>
        </is>
      </c>
      <c r="G4447" t="n">
        <v>0.6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s="2" t="inlineStr"/>
    </row>
    <row r="4448" ht="15" customHeight="1">
      <c r="A4448" t="inlineStr">
        <is>
          <t>A 43312-2022</t>
        </is>
      </c>
      <c r="B4448" s="1" t="n">
        <v>44834</v>
      </c>
      <c r="C4448" s="1" t="n">
        <v>45211</v>
      </c>
      <c r="D4448" t="inlineStr">
        <is>
          <t>ÖSTERGÖTLANDS LÄN</t>
        </is>
      </c>
      <c r="E4448" t="inlineStr">
        <is>
          <t>NORRKÖPING</t>
        </is>
      </c>
      <c r="F4448" t="inlineStr">
        <is>
          <t>Holmen skog AB</t>
        </is>
      </c>
      <c r="G4448" t="n">
        <v>11.1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s="2" t="inlineStr"/>
    </row>
    <row r="4449" ht="15" customHeight="1">
      <c r="A4449" t="inlineStr">
        <is>
          <t>A 43318-2022</t>
        </is>
      </c>
      <c r="B4449" s="1" t="n">
        <v>44834</v>
      </c>
      <c r="C4449" s="1" t="n">
        <v>45211</v>
      </c>
      <c r="D4449" t="inlineStr">
        <is>
          <t>ÖSTERGÖTLANDS LÄN</t>
        </is>
      </c>
      <c r="E4449" t="inlineStr">
        <is>
          <t>FINSPÅNG</t>
        </is>
      </c>
      <c r="F4449" t="inlineStr">
        <is>
          <t>Holmen skog AB</t>
        </is>
      </c>
      <c r="G4449" t="n">
        <v>2.4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s="2" t="inlineStr"/>
    </row>
    <row r="4450" ht="15" customHeight="1">
      <c r="A4450" t="inlineStr">
        <is>
          <t>A 43322-2022</t>
        </is>
      </c>
      <c r="B4450" s="1" t="n">
        <v>44834</v>
      </c>
      <c r="C4450" s="1" t="n">
        <v>45211</v>
      </c>
      <c r="D4450" t="inlineStr">
        <is>
          <t>ÖSTERGÖTLANDS LÄN</t>
        </is>
      </c>
      <c r="E4450" t="inlineStr">
        <is>
          <t>NORRKÖPING</t>
        </is>
      </c>
      <c r="F4450" t="inlineStr">
        <is>
          <t>Holmen skog AB</t>
        </is>
      </c>
      <c r="G4450" t="n">
        <v>1.3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s="2" t="inlineStr"/>
    </row>
    <row r="4451" ht="15" customHeight="1">
      <c r="A4451" t="inlineStr">
        <is>
          <t>A 43381-2022</t>
        </is>
      </c>
      <c r="B4451" s="1" t="n">
        <v>44834</v>
      </c>
      <c r="C4451" s="1" t="n">
        <v>45211</v>
      </c>
      <c r="D4451" t="inlineStr">
        <is>
          <t>ÖSTERGÖTLANDS LÄN</t>
        </is>
      </c>
      <c r="E4451" t="inlineStr">
        <is>
          <t>MOTALA</t>
        </is>
      </c>
      <c r="G4451" t="n">
        <v>0.5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s="2" t="inlineStr"/>
    </row>
    <row r="4452" ht="15" customHeight="1">
      <c r="A4452" t="inlineStr">
        <is>
          <t>A 43471-2022</t>
        </is>
      </c>
      <c r="B4452" s="1" t="n">
        <v>44836</v>
      </c>
      <c r="C4452" s="1" t="n">
        <v>45211</v>
      </c>
      <c r="D4452" t="inlineStr">
        <is>
          <t>ÖSTERGÖTLANDS LÄN</t>
        </is>
      </c>
      <c r="E4452" t="inlineStr">
        <is>
          <t>BOXHOLM</t>
        </is>
      </c>
      <c r="G4452" t="n">
        <v>1.1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s="2" t="inlineStr"/>
    </row>
    <row r="4453" ht="15" customHeight="1">
      <c r="A4453" t="inlineStr">
        <is>
          <t>A 43726-2022</t>
        </is>
      </c>
      <c r="B4453" s="1" t="n">
        <v>44836</v>
      </c>
      <c r="C4453" s="1" t="n">
        <v>45211</v>
      </c>
      <c r="D4453" t="inlineStr">
        <is>
          <t>ÖSTERGÖTLANDS LÄN</t>
        </is>
      </c>
      <c r="E4453" t="inlineStr">
        <is>
          <t>LINKÖPING</t>
        </is>
      </c>
      <c r="G4453" t="n">
        <v>3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s="2" t="inlineStr"/>
    </row>
    <row r="4454" ht="15" customHeight="1">
      <c r="A4454" t="inlineStr">
        <is>
          <t>A 43832-2022</t>
        </is>
      </c>
      <c r="B4454" s="1" t="n">
        <v>44837</v>
      </c>
      <c r="C4454" s="1" t="n">
        <v>45211</v>
      </c>
      <c r="D4454" t="inlineStr">
        <is>
          <t>ÖSTERGÖTLANDS LÄN</t>
        </is>
      </c>
      <c r="E4454" t="inlineStr">
        <is>
          <t>MOTALA</t>
        </is>
      </c>
      <c r="G4454" t="n">
        <v>3.7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s="2" t="inlineStr"/>
    </row>
    <row r="4455" ht="15" customHeight="1">
      <c r="A4455" t="inlineStr">
        <is>
          <t>A 43634-2022</t>
        </is>
      </c>
      <c r="B4455" s="1" t="n">
        <v>44837</v>
      </c>
      <c r="C4455" s="1" t="n">
        <v>45211</v>
      </c>
      <c r="D4455" t="inlineStr">
        <is>
          <t>ÖSTERGÖTLANDS LÄN</t>
        </is>
      </c>
      <c r="E4455" t="inlineStr">
        <is>
          <t>NORRKÖPING</t>
        </is>
      </c>
      <c r="G4455" t="n">
        <v>2.7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s="2" t="inlineStr"/>
    </row>
    <row r="4456" ht="15" customHeight="1">
      <c r="A4456" t="inlineStr">
        <is>
          <t>A 44160-2022</t>
        </is>
      </c>
      <c r="B4456" s="1" t="n">
        <v>44837</v>
      </c>
      <c r="C4456" s="1" t="n">
        <v>45211</v>
      </c>
      <c r="D4456" t="inlineStr">
        <is>
          <t>ÖSTERGÖTLANDS LÄN</t>
        </is>
      </c>
      <c r="E4456" t="inlineStr">
        <is>
          <t>KINDA</t>
        </is>
      </c>
      <c r="G4456" t="n">
        <v>0.5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s="2" t="inlineStr"/>
    </row>
    <row r="4457" ht="15" customHeight="1">
      <c r="A4457" t="inlineStr">
        <is>
          <t>A 43638-2022</t>
        </is>
      </c>
      <c r="B4457" s="1" t="n">
        <v>44837</v>
      </c>
      <c r="C4457" s="1" t="n">
        <v>45211</v>
      </c>
      <c r="D4457" t="inlineStr">
        <is>
          <t>ÖSTERGÖTLANDS LÄN</t>
        </is>
      </c>
      <c r="E4457" t="inlineStr">
        <is>
          <t>NORRKÖPING</t>
        </is>
      </c>
      <c r="G4457" t="n">
        <v>2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s="2" t="inlineStr"/>
    </row>
    <row r="4458" ht="15" customHeight="1">
      <c r="A4458" t="inlineStr">
        <is>
          <t>A 43605-2022</t>
        </is>
      </c>
      <c r="B4458" s="1" t="n">
        <v>44837</v>
      </c>
      <c r="C4458" s="1" t="n">
        <v>45211</v>
      </c>
      <c r="D4458" t="inlineStr">
        <is>
          <t>ÖSTERGÖTLANDS LÄN</t>
        </is>
      </c>
      <c r="E4458" t="inlineStr">
        <is>
          <t>NORRKÖPING</t>
        </is>
      </c>
      <c r="G4458" t="n">
        <v>1.7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s="2" t="inlineStr"/>
    </row>
    <row r="4459" ht="15" customHeight="1">
      <c r="A4459" t="inlineStr">
        <is>
          <t>A 43629-2022</t>
        </is>
      </c>
      <c r="B4459" s="1" t="n">
        <v>44837</v>
      </c>
      <c r="C4459" s="1" t="n">
        <v>45211</v>
      </c>
      <c r="D4459" t="inlineStr">
        <is>
          <t>ÖSTERGÖTLANDS LÄN</t>
        </is>
      </c>
      <c r="E4459" t="inlineStr">
        <is>
          <t>NORRKÖPING</t>
        </is>
      </c>
      <c r="G4459" t="n">
        <v>2.5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s="2" t="inlineStr"/>
    </row>
    <row r="4460" ht="15" customHeight="1">
      <c r="A4460" t="inlineStr">
        <is>
          <t>A 43640-2022</t>
        </is>
      </c>
      <c r="B4460" s="1" t="n">
        <v>44837</v>
      </c>
      <c r="C4460" s="1" t="n">
        <v>45211</v>
      </c>
      <c r="D4460" t="inlineStr">
        <is>
          <t>ÖSTERGÖTLANDS LÄN</t>
        </is>
      </c>
      <c r="E4460" t="inlineStr">
        <is>
          <t>NORRKÖPING</t>
        </is>
      </c>
      <c r="G4460" t="n">
        <v>1.2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s="2" t="inlineStr"/>
    </row>
    <row r="4461" ht="15" customHeight="1">
      <c r="A4461" t="inlineStr">
        <is>
          <t>A 44256-2022</t>
        </is>
      </c>
      <c r="B4461" s="1" t="n">
        <v>44839</v>
      </c>
      <c r="C4461" s="1" t="n">
        <v>45211</v>
      </c>
      <c r="D4461" t="inlineStr">
        <is>
          <t>ÖSTERGÖTLANDS LÄN</t>
        </is>
      </c>
      <c r="E4461" t="inlineStr">
        <is>
          <t>ÅTVIDABERG</t>
        </is>
      </c>
      <c r="G4461" t="n">
        <v>1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s="2" t="inlineStr"/>
    </row>
    <row r="4462" ht="15" customHeight="1">
      <c r="A4462" t="inlineStr">
        <is>
          <t>A 44074-2022</t>
        </is>
      </c>
      <c r="B4462" s="1" t="n">
        <v>44839</v>
      </c>
      <c r="C4462" s="1" t="n">
        <v>45211</v>
      </c>
      <c r="D4462" t="inlineStr">
        <is>
          <t>ÖSTERGÖTLANDS LÄN</t>
        </is>
      </c>
      <c r="E4462" t="inlineStr">
        <is>
          <t>BOXHOLM</t>
        </is>
      </c>
      <c r="F4462" t="inlineStr">
        <is>
          <t>Övriga Aktiebolag</t>
        </is>
      </c>
      <c r="G4462" t="n">
        <v>3.5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s="2" t="inlineStr"/>
      <c r="U4462">
        <f>HYPERLINK("https://klasma.github.io/Logging_0560/knärot/A 44074-2022.png", "A 44074-2022")</f>
        <v/>
      </c>
      <c r="V4462">
        <f>HYPERLINK("https://klasma.github.io/Logging_0560/klagomål/A 44074-2022.docx", "A 44074-2022")</f>
        <v/>
      </c>
      <c r="W4462">
        <f>HYPERLINK("https://klasma.github.io/Logging_0560/klagomålsmail/A 44074-2022.docx", "A 44074-2022")</f>
        <v/>
      </c>
      <c r="X4462">
        <f>HYPERLINK("https://klasma.github.io/Logging_0560/tillsyn/A 44074-2022.docx", "A 44074-2022")</f>
        <v/>
      </c>
      <c r="Y4462">
        <f>HYPERLINK("https://klasma.github.io/Logging_0560/tillsynsmail/A 44074-2022.docx", "A 44074-2022")</f>
        <v/>
      </c>
    </row>
    <row r="4463" ht="15" customHeight="1">
      <c r="A4463" t="inlineStr">
        <is>
          <t>A 44344-2022</t>
        </is>
      </c>
      <c r="B4463" s="1" t="n">
        <v>44839</v>
      </c>
      <c r="C4463" s="1" t="n">
        <v>45211</v>
      </c>
      <c r="D4463" t="inlineStr">
        <is>
          <t>ÖSTERGÖTLANDS LÄN</t>
        </is>
      </c>
      <c r="E4463" t="inlineStr">
        <is>
          <t>FINSPÅNG</t>
        </is>
      </c>
      <c r="F4463" t="inlineStr">
        <is>
          <t>Holmen skog AB</t>
        </is>
      </c>
      <c r="G4463" t="n">
        <v>1.1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s="2" t="inlineStr"/>
    </row>
    <row r="4464" ht="15" customHeight="1">
      <c r="A4464" t="inlineStr">
        <is>
          <t>A 44571-2022</t>
        </is>
      </c>
      <c r="B4464" s="1" t="n">
        <v>44840</v>
      </c>
      <c r="C4464" s="1" t="n">
        <v>45211</v>
      </c>
      <c r="D4464" t="inlineStr">
        <is>
          <t>ÖSTERGÖTLANDS LÄN</t>
        </is>
      </c>
      <c r="E4464" t="inlineStr">
        <is>
          <t>FINSPÅNG</t>
        </is>
      </c>
      <c r="F4464" t="inlineStr">
        <is>
          <t>Holmen skog AB</t>
        </is>
      </c>
      <c r="G4464" t="n">
        <v>1.6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s="2" t="inlineStr"/>
    </row>
    <row r="4465" ht="15" customHeight="1">
      <c r="A4465" t="inlineStr">
        <is>
          <t>A 45154-2022</t>
        </is>
      </c>
      <c r="B4465" s="1" t="n">
        <v>44840</v>
      </c>
      <c r="C4465" s="1" t="n">
        <v>45211</v>
      </c>
      <c r="D4465" t="inlineStr">
        <is>
          <t>ÖSTERGÖTLANDS LÄN</t>
        </is>
      </c>
      <c r="E4465" t="inlineStr">
        <is>
          <t>SÖDERKÖPING</t>
        </is>
      </c>
      <c r="G4465" t="n">
        <v>1.7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s="2" t="inlineStr"/>
    </row>
    <row r="4466" ht="15" customHeight="1">
      <c r="A4466" t="inlineStr">
        <is>
          <t>A 45243-2022</t>
        </is>
      </c>
      <c r="B4466" s="1" t="n">
        <v>44840</v>
      </c>
      <c r="C4466" s="1" t="n">
        <v>45211</v>
      </c>
      <c r="D4466" t="inlineStr">
        <is>
          <t>ÖSTERGÖTLANDS LÄN</t>
        </is>
      </c>
      <c r="E4466" t="inlineStr">
        <is>
          <t>FINSPÅNG</t>
        </is>
      </c>
      <c r="G4466" t="n">
        <v>1.8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s="2" t="inlineStr"/>
    </row>
    <row r="4467" ht="15" customHeight="1">
      <c r="A4467" t="inlineStr">
        <is>
          <t>A 44652-2022</t>
        </is>
      </c>
      <c r="B4467" s="1" t="n">
        <v>44840</v>
      </c>
      <c r="C4467" s="1" t="n">
        <v>45211</v>
      </c>
      <c r="D4467" t="inlineStr">
        <is>
          <t>ÖSTERGÖTLANDS LÄN</t>
        </is>
      </c>
      <c r="E4467" t="inlineStr">
        <is>
          <t>MJÖLBY</t>
        </is>
      </c>
      <c r="F4467" t="inlineStr">
        <is>
          <t>Kommuner</t>
        </is>
      </c>
      <c r="G4467" t="n">
        <v>0.6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s="2" t="inlineStr"/>
    </row>
    <row r="4468" ht="15" customHeight="1">
      <c r="A4468" t="inlineStr">
        <is>
          <t>A 45161-2022</t>
        </is>
      </c>
      <c r="B4468" s="1" t="n">
        <v>44840</v>
      </c>
      <c r="C4468" s="1" t="n">
        <v>45211</v>
      </c>
      <c r="D4468" t="inlineStr">
        <is>
          <t>ÖSTERGÖTLANDS LÄN</t>
        </is>
      </c>
      <c r="E4468" t="inlineStr">
        <is>
          <t>SÖDERKÖPING</t>
        </is>
      </c>
      <c r="G4468" t="n">
        <v>2.5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s="2" t="inlineStr"/>
    </row>
    <row r="4469" ht="15" customHeight="1">
      <c r="A4469" t="inlineStr">
        <is>
          <t>A 44898-2022</t>
        </is>
      </c>
      <c r="B4469" s="1" t="n">
        <v>44841</v>
      </c>
      <c r="C4469" s="1" t="n">
        <v>45211</v>
      </c>
      <c r="D4469" t="inlineStr">
        <is>
          <t>ÖSTERGÖTLANDS LÄN</t>
        </is>
      </c>
      <c r="E4469" t="inlineStr">
        <is>
          <t>BOXHOLM</t>
        </is>
      </c>
      <c r="G4469" t="n">
        <v>0.8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s="2" t="inlineStr"/>
    </row>
    <row r="4470" ht="15" customHeight="1">
      <c r="A4470" t="inlineStr">
        <is>
          <t>A 44819-2022</t>
        </is>
      </c>
      <c r="B4470" s="1" t="n">
        <v>44841</v>
      </c>
      <c r="C4470" s="1" t="n">
        <v>45211</v>
      </c>
      <c r="D4470" t="inlineStr">
        <is>
          <t>ÖSTERGÖTLANDS LÄN</t>
        </is>
      </c>
      <c r="E4470" t="inlineStr">
        <is>
          <t>ÅTVIDABERG</t>
        </is>
      </c>
      <c r="F4470" t="inlineStr">
        <is>
          <t>Holmen skog AB</t>
        </is>
      </c>
      <c r="G4470" t="n">
        <v>1.1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s="2" t="inlineStr"/>
    </row>
    <row r="4471" ht="15" customHeight="1">
      <c r="A4471" t="inlineStr">
        <is>
          <t>A 44849-2022</t>
        </is>
      </c>
      <c r="B4471" s="1" t="n">
        <v>44841</v>
      </c>
      <c r="C4471" s="1" t="n">
        <v>45211</v>
      </c>
      <c r="D4471" t="inlineStr">
        <is>
          <t>ÖSTERGÖTLANDS LÄN</t>
        </is>
      </c>
      <c r="E4471" t="inlineStr">
        <is>
          <t>LINKÖPING</t>
        </is>
      </c>
      <c r="G4471" t="n">
        <v>1.1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s="2" t="inlineStr"/>
    </row>
    <row r="4472" ht="15" customHeight="1">
      <c r="A4472" t="inlineStr">
        <is>
          <t>A 45130-2022</t>
        </is>
      </c>
      <c r="B4472" s="1" t="n">
        <v>44841</v>
      </c>
      <c r="C4472" s="1" t="n">
        <v>45211</v>
      </c>
      <c r="D4472" t="inlineStr">
        <is>
          <t>ÖSTERGÖTLANDS LÄN</t>
        </is>
      </c>
      <c r="E4472" t="inlineStr">
        <is>
          <t>SÖDERKÖPING</t>
        </is>
      </c>
      <c r="G4472" t="n">
        <v>0.5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s="2" t="inlineStr"/>
    </row>
    <row r="4473" ht="15" customHeight="1">
      <c r="A4473" t="inlineStr">
        <is>
          <t>A 45089-2022</t>
        </is>
      </c>
      <c r="B4473" s="1" t="n">
        <v>44842</v>
      </c>
      <c r="C4473" s="1" t="n">
        <v>45211</v>
      </c>
      <c r="D4473" t="inlineStr">
        <is>
          <t>ÖSTERGÖTLANDS LÄN</t>
        </is>
      </c>
      <c r="E4473" t="inlineStr">
        <is>
          <t>FINSPÅNG</t>
        </is>
      </c>
      <c r="G4473" t="n">
        <v>0.5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s="2" t="inlineStr"/>
    </row>
    <row r="4474" ht="15" customHeight="1">
      <c r="A4474" t="inlineStr">
        <is>
          <t>A 45407-2022</t>
        </is>
      </c>
      <c r="B4474" s="1" t="n">
        <v>44844</v>
      </c>
      <c r="C4474" s="1" t="n">
        <v>45211</v>
      </c>
      <c r="D4474" t="inlineStr">
        <is>
          <t>ÖSTERGÖTLANDS LÄN</t>
        </is>
      </c>
      <c r="E4474" t="inlineStr">
        <is>
          <t>FINSPÅNG</t>
        </is>
      </c>
      <c r="G4474" t="n">
        <v>0.8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s="2" t="inlineStr"/>
    </row>
    <row r="4475" ht="15" customHeight="1">
      <c r="A4475" t="inlineStr">
        <is>
          <t>A 45247-2022</t>
        </is>
      </c>
      <c r="B4475" s="1" t="n">
        <v>44844</v>
      </c>
      <c r="C4475" s="1" t="n">
        <v>45211</v>
      </c>
      <c r="D4475" t="inlineStr">
        <is>
          <t>ÖSTERGÖTLANDS LÄN</t>
        </is>
      </c>
      <c r="E4475" t="inlineStr">
        <is>
          <t>FINSPÅNG</t>
        </is>
      </c>
      <c r="F4475" t="inlineStr">
        <is>
          <t>Holmen skog AB</t>
        </is>
      </c>
      <c r="G4475" t="n">
        <v>0.8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s="2" t="inlineStr"/>
    </row>
    <row r="4476" ht="15" customHeight="1">
      <c r="A4476" t="inlineStr">
        <is>
          <t>A 45411-2022</t>
        </is>
      </c>
      <c r="B4476" s="1" t="n">
        <v>44844</v>
      </c>
      <c r="C4476" s="1" t="n">
        <v>45211</v>
      </c>
      <c r="D4476" t="inlineStr">
        <is>
          <t>ÖSTERGÖTLANDS LÄN</t>
        </is>
      </c>
      <c r="E4476" t="inlineStr">
        <is>
          <t>FINSPÅNG</t>
        </is>
      </c>
      <c r="G4476" t="n">
        <v>1.9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s="2" t="inlineStr"/>
    </row>
    <row r="4477" ht="15" customHeight="1">
      <c r="A4477" t="inlineStr">
        <is>
          <t>A 45203-2022</t>
        </is>
      </c>
      <c r="B4477" s="1" t="n">
        <v>44844</v>
      </c>
      <c r="C4477" s="1" t="n">
        <v>45211</v>
      </c>
      <c r="D4477" t="inlineStr">
        <is>
          <t>ÖSTERGÖTLANDS LÄN</t>
        </is>
      </c>
      <c r="E4477" t="inlineStr">
        <is>
          <t>FINSPÅNG</t>
        </is>
      </c>
      <c r="G4477" t="n">
        <v>1.1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s="2" t="inlineStr"/>
    </row>
    <row r="4478" ht="15" customHeight="1">
      <c r="A4478" t="inlineStr">
        <is>
          <t>A 45410-2022</t>
        </is>
      </c>
      <c r="B4478" s="1" t="n">
        <v>44844</v>
      </c>
      <c r="C4478" s="1" t="n">
        <v>45211</v>
      </c>
      <c r="D4478" t="inlineStr">
        <is>
          <t>ÖSTERGÖTLANDS LÄN</t>
        </is>
      </c>
      <c r="E4478" t="inlineStr">
        <is>
          <t>FINSPÅNG</t>
        </is>
      </c>
      <c r="G4478" t="n">
        <v>16.6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s="2" t="inlineStr"/>
    </row>
    <row r="4479" ht="15" customHeight="1">
      <c r="A4479" t="inlineStr">
        <is>
          <t>A 45446-2022</t>
        </is>
      </c>
      <c r="B4479" s="1" t="n">
        <v>44845</v>
      </c>
      <c r="C4479" s="1" t="n">
        <v>45211</v>
      </c>
      <c r="D4479" t="inlineStr">
        <is>
          <t>ÖSTERGÖTLANDS LÄN</t>
        </is>
      </c>
      <c r="E4479" t="inlineStr">
        <is>
          <t>LINKÖPING</t>
        </is>
      </c>
      <c r="G4479" t="n">
        <v>1.1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s="2" t="inlineStr"/>
    </row>
    <row r="4480" ht="15" customHeight="1">
      <c r="A4480" t="inlineStr">
        <is>
          <t>A 45448-2022</t>
        </is>
      </c>
      <c r="B4480" s="1" t="n">
        <v>44845</v>
      </c>
      <c r="C4480" s="1" t="n">
        <v>45211</v>
      </c>
      <c r="D4480" t="inlineStr">
        <is>
          <t>ÖSTERGÖTLANDS LÄN</t>
        </is>
      </c>
      <c r="E4480" t="inlineStr">
        <is>
          <t>LINKÖPING</t>
        </is>
      </c>
      <c r="G4480" t="n">
        <v>1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s="2" t="inlineStr"/>
    </row>
    <row r="4481" ht="15" customHeight="1">
      <c r="A4481" t="inlineStr">
        <is>
          <t>A 45996-2022</t>
        </is>
      </c>
      <c r="B4481" s="1" t="n">
        <v>44846</v>
      </c>
      <c r="C4481" s="1" t="n">
        <v>45211</v>
      </c>
      <c r="D4481" t="inlineStr">
        <is>
          <t>ÖSTERGÖTLANDS LÄN</t>
        </is>
      </c>
      <c r="E4481" t="inlineStr">
        <is>
          <t>ÅTVIDABERG</t>
        </is>
      </c>
      <c r="G4481" t="n">
        <v>0.8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s="2" t="inlineStr"/>
    </row>
    <row r="4482" ht="15" customHeight="1">
      <c r="A4482" t="inlineStr">
        <is>
          <t>A 45877-2022</t>
        </is>
      </c>
      <c r="B4482" s="1" t="n">
        <v>44846</v>
      </c>
      <c r="C4482" s="1" t="n">
        <v>45211</v>
      </c>
      <c r="D4482" t="inlineStr">
        <is>
          <t>ÖSTERGÖTLANDS LÄN</t>
        </is>
      </c>
      <c r="E4482" t="inlineStr">
        <is>
          <t>BOXHOLM</t>
        </is>
      </c>
      <c r="G4482" t="n">
        <v>0.5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s="2" t="inlineStr"/>
    </row>
    <row r="4483" ht="15" customHeight="1">
      <c r="A4483" t="inlineStr">
        <is>
          <t>A 46234-2022</t>
        </is>
      </c>
      <c r="B4483" s="1" t="n">
        <v>44846</v>
      </c>
      <c r="C4483" s="1" t="n">
        <v>45211</v>
      </c>
      <c r="D4483" t="inlineStr">
        <is>
          <t>ÖSTERGÖTLANDS LÄN</t>
        </is>
      </c>
      <c r="E4483" t="inlineStr">
        <is>
          <t>LINKÖPING</t>
        </is>
      </c>
      <c r="G4483" t="n">
        <v>3.3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s="2" t="inlineStr"/>
    </row>
    <row r="4484" ht="15" customHeight="1">
      <c r="A4484" t="inlineStr">
        <is>
          <t>A 46210-2022</t>
        </is>
      </c>
      <c r="B4484" s="1" t="n">
        <v>44846</v>
      </c>
      <c r="C4484" s="1" t="n">
        <v>45211</v>
      </c>
      <c r="D4484" t="inlineStr">
        <is>
          <t>ÖSTERGÖTLANDS LÄN</t>
        </is>
      </c>
      <c r="E4484" t="inlineStr">
        <is>
          <t>MOTALA</t>
        </is>
      </c>
      <c r="G4484" t="n">
        <v>1.5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s="2" t="inlineStr"/>
    </row>
    <row r="4485" ht="15" customHeight="1">
      <c r="A4485" t="inlineStr">
        <is>
          <t>A 45871-2022</t>
        </is>
      </c>
      <c r="B4485" s="1" t="n">
        <v>44846</v>
      </c>
      <c r="C4485" s="1" t="n">
        <v>45211</v>
      </c>
      <c r="D4485" t="inlineStr">
        <is>
          <t>ÖSTERGÖTLANDS LÄN</t>
        </is>
      </c>
      <c r="E4485" t="inlineStr">
        <is>
          <t>KINDA</t>
        </is>
      </c>
      <c r="G4485" t="n">
        <v>1.6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s="2" t="inlineStr"/>
    </row>
    <row r="4486" ht="15" customHeight="1">
      <c r="A4486" t="inlineStr">
        <is>
          <t>A 46260-2022</t>
        </is>
      </c>
      <c r="B4486" s="1" t="n">
        <v>44847</v>
      </c>
      <c r="C4486" s="1" t="n">
        <v>45211</v>
      </c>
      <c r="D4486" t="inlineStr">
        <is>
          <t>ÖSTERGÖTLANDS LÄN</t>
        </is>
      </c>
      <c r="E4486" t="inlineStr">
        <is>
          <t>ÅTVIDABERG</t>
        </is>
      </c>
      <c r="F4486" t="inlineStr">
        <is>
          <t>Holmen skog AB</t>
        </is>
      </c>
      <c r="G4486" t="n">
        <v>1.2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s="2" t="inlineStr"/>
    </row>
    <row r="4487" ht="15" customHeight="1">
      <c r="A4487" t="inlineStr">
        <is>
          <t>A 46490-2022</t>
        </is>
      </c>
      <c r="B4487" s="1" t="n">
        <v>44848</v>
      </c>
      <c r="C4487" s="1" t="n">
        <v>45211</v>
      </c>
      <c r="D4487" t="inlineStr">
        <is>
          <t>ÖSTERGÖTLANDS LÄN</t>
        </is>
      </c>
      <c r="E4487" t="inlineStr">
        <is>
          <t>LINKÖPING</t>
        </is>
      </c>
      <c r="G4487" t="n">
        <v>3.5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s="2" t="inlineStr"/>
    </row>
    <row r="4488" ht="15" customHeight="1">
      <c r="A4488" t="inlineStr">
        <is>
          <t>A 46757-2022</t>
        </is>
      </c>
      <c r="B4488" s="1" t="n">
        <v>44851</v>
      </c>
      <c r="C4488" s="1" t="n">
        <v>45211</v>
      </c>
      <c r="D4488" t="inlineStr">
        <is>
          <t>ÖSTERGÖTLANDS LÄN</t>
        </is>
      </c>
      <c r="E4488" t="inlineStr">
        <is>
          <t>KINDA</t>
        </is>
      </c>
      <c r="G4488" t="n">
        <v>1.8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s="2" t="inlineStr"/>
    </row>
    <row r="4489" ht="15" customHeight="1">
      <c r="A4489" t="inlineStr">
        <is>
          <t>A 46858-2022</t>
        </is>
      </c>
      <c r="B4489" s="1" t="n">
        <v>44851</v>
      </c>
      <c r="C4489" s="1" t="n">
        <v>45211</v>
      </c>
      <c r="D4489" t="inlineStr">
        <is>
          <t>ÖSTERGÖTLANDS LÄN</t>
        </is>
      </c>
      <c r="E4489" t="inlineStr">
        <is>
          <t>MOTALA</t>
        </is>
      </c>
      <c r="G4489" t="n">
        <v>1.9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s="2" t="inlineStr"/>
    </row>
    <row r="4490" ht="15" customHeight="1">
      <c r="A4490" t="inlineStr">
        <is>
          <t>A 46788-2022</t>
        </is>
      </c>
      <c r="B4490" s="1" t="n">
        <v>44851</v>
      </c>
      <c r="C4490" s="1" t="n">
        <v>45211</v>
      </c>
      <c r="D4490" t="inlineStr">
        <is>
          <t>ÖSTERGÖTLANDS LÄN</t>
        </is>
      </c>
      <c r="E4490" t="inlineStr">
        <is>
          <t>ÅTVIDABERG</t>
        </is>
      </c>
      <c r="G4490" t="n">
        <v>4.8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s="2" t="inlineStr"/>
    </row>
    <row r="4491" ht="15" customHeight="1">
      <c r="A4491" t="inlineStr">
        <is>
          <t>A 46903-2022</t>
        </is>
      </c>
      <c r="B4491" s="1" t="n">
        <v>44851</v>
      </c>
      <c r="C4491" s="1" t="n">
        <v>45211</v>
      </c>
      <c r="D4491" t="inlineStr">
        <is>
          <t>ÖSTERGÖTLANDS LÄN</t>
        </is>
      </c>
      <c r="E4491" t="inlineStr">
        <is>
          <t>ÅTVIDABERG</t>
        </is>
      </c>
      <c r="G4491" t="n">
        <v>0.8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s="2" t="inlineStr"/>
    </row>
    <row r="4492" ht="15" customHeight="1">
      <c r="A4492" t="inlineStr">
        <is>
          <t>A 46748-2022</t>
        </is>
      </c>
      <c r="B4492" s="1" t="n">
        <v>44851</v>
      </c>
      <c r="C4492" s="1" t="n">
        <v>45211</v>
      </c>
      <c r="D4492" t="inlineStr">
        <is>
          <t>ÖSTERGÖTLANDS LÄN</t>
        </is>
      </c>
      <c r="E4492" t="inlineStr">
        <is>
          <t>ÅTVIDABERG</t>
        </is>
      </c>
      <c r="G4492" t="n">
        <v>1.4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s="2" t="inlineStr"/>
    </row>
    <row r="4493" ht="15" customHeight="1">
      <c r="A4493" t="inlineStr">
        <is>
          <t>A 46908-2022</t>
        </is>
      </c>
      <c r="B4493" s="1" t="n">
        <v>44851</v>
      </c>
      <c r="C4493" s="1" t="n">
        <v>45211</v>
      </c>
      <c r="D4493" t="inlineStr">
        <is>
          <t>ÖSTERGÖTLANDS LÄN</t>
        </is>
      </c>
      <c r="E4493" t="inlineStr">
        <is>
          <t>KINDA</t>
        </is>
      </c>
      <c r="G4493" t="n">
        <v>1.8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s="2" t="inlineStr"/>
    </row>
    <row r="4494" ht="15" customHeight="1">
      <c r="A4494" t="inlineStr">
        <is>
          <t>A 46738-2022</t>
        </is>
      </c>
      <c r="B4494" s="1" t="n">
        <v>44851</v>
      </c>
      <c r="C4494" s="1" t="n">
        <v>45211</v>
      </c>
      <c r="D4494" t="inlineStr">
        <is>
          <t>ÖSTERGÖTLANDS LÄN</t>
        </is>
      </c>
      <c r="E4494" t="inlineStr">
        <is>
          <t>NORRKÖPING</t>
        </is>
      </c>
      <c r="G4494" t="n">
        <v>3.7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s="2" t="inlineStr"/>
    </row>
    <row r="4495" ht="15" customHeight="1">
      <c r="A4495" t="inlineStr">
        <is>
          <t>A 46793-2022</t>
        </is>
      </c>
      <c r="B4495" s="1" t="n">
        <v>44851</v>
      </c>
      <c r="C4495" s="1" t="n">
        <v>45211</v>
      </c>
      <c r="D4495" t="inlineStr">
        <is>
          <t>ÖSTERGÖTLANDS LÄN</t>
        </is>
      </c>
      <c r="E4495" t="inlineStr">
        <is>
          <t>ÅTVIDABERG</t>
        </is>
      </c>
      <c r="G4495" t="n">
        <v>1.3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s="2" t="inlineStr"/>
    </row>
    <row r="4496" ht="15" customHeight="1">
      <c r="A4496" t="inlineStr">
        <is>
          <t>A 47027-2022</t>
        </is>
      </c>
      <c r="B4496" s="1" t="n">
        <v>44852</v>
      </c>
      <c r="C4496" s="1" t="n">
        <v>45211</v>
      </c>
      <c r="D4496" t="inlineStr">
        <is>
          <t>ÖSTERGÖTLANDS LÄN</t>
        </is>
      </c>
      <c r="E4496" t="inlineStr">
        <is>
          <t>LINKÖPING</t>
        </is>
      </c>
      <c r="G4496" t="n">
        <v>5.9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s="2" t="inlineStr"/>
    </row>
    <row r="4497" ht="15" customHeight="1">
      <c r="A4497" t="inlineStr">
        <is>
          <t>A 47145-2022</t>
        </is>
      </c>
      <c r="B4497" s="1" t="n">
        <v>44852</v>
      </c>
      <c r="C4497" s="1" t="n">
        <v>45211</v>
      </c>
      <c r="D4497" t="inlineStr">
        <is>
          <t>ÖSTERGÖTLANDS LÄN</t>
        </is>
      </c>
      <c r="E4497" t="inlineStr">
        <is>
          <t>BOXHOLM</t>
        </is>
      </c>
      <c r="G4497" t="n">
        <v>1.2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s="2" t="inlineStr"/>
    </row>
    <row r="4498" ht="15" customHeight="1">
      <c r="A4498" t="inlineStr">
        <is>
          <t>A 47219-2022</t>
        </is>
      </c>
      <c r="B4498" s="1" t="n">
        <v>44852</v>
      </c>
      <c r="C4498" s="1" t="n">
        <v>45211</v>
      </c>
      <c r="D4498" t="inlineStr">
        <is>
          <t>ÖSTERGÖTLANDS LÄN</t>
        </is>
      </c>
      <c r="E4498" t="inlineStr">
        <is>
          <t>VALDEMARSVIK</t>
        </is>
      </c>
      <c r="G4498" t="n">
        <v>0.8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s="2" t="inlineStr"/>
    </row>
    <row r="4499" ht="15" customHeight="1">
      <c r="A4499" t="inlineStr">
        <is>
          <t>A 47632-2022</t>
        </is>
      </c>
      <c r="B4499" s="1" t="n">
        <v>44852</v>
      </c>
      <c r="C4499" s="1" t="n">
        <v>45211</v>
      </c>
      <c r="D4499" t="inlineStr">
        <is>
          <t>ÖSTERGÖTLANDS LÄN</t>
        </is>
      </c>
      <c r="E4499" t="inlineStr">
        <is>
          <t>VALDEMARSVIK</t>
        </is>
      </c>
      <c r="G4499" t="n">
        <v>4.8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s="2" t="inlineStr"/>
    </row>
    <row r="4500" ht="15" customHeight="1">
      <c r="A4500" t="inlineStr">
        <is>
          <t>A 47042-2022</t>
        </is>
      </c>
      <c r="B4500" s="1" t="n">
        <v>44852</v>
      </c>
      <c r="C4500" s="1" t="n">
        <v>45211</v>
      </c>
      <c r="D4500" t="inlineStr">
        <is>
          <t>ÖSTERGÖTLANDS LÄN</t>
        </is>
      </c>
      <c r="E4500" t="inlineStr">
        <is>
          <t>NORRKÖPING</t>
        </is>
      </c>
      <c r="F4500" t="inlineStr">
        <is>
          <t>Holmen skog AB</t>
        </is>
      </c>
      <c r="G4500" t="n">
        <v>1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s="2" t="inlineStr"/>
    </row>
    <row r="4501" ht="15" customHeight="1">
      <c r="A4501" t="inlineStr">
        <is>
          <t>A 47051-2022</t>
        </is>
      </c>
      <c r="B4501" s="1" t="n">
        <v>44852</v>
      </c>
      <c r="C4501" s="1" t="n">
        <v>45211</v>
      </c>
      <c r="D4501" t="inlineStr">
        <is>
          <t>ÖSTERGÖTLANDS LÄN</t>
        </is>
      </c>
      <c r="E4501" t="inlineStr">
        <is>
          <t>KINDA</t>
        </is>
      </c>
      <c r="G4501" t="n">
        <v>0.5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s="2" t="inlineStr"/>
    </row>
    <row r="4502" ht="15" customHeight="1">
      <c r="A4502" t="inlineStr">
        <is>
          <t>A 47114-2022</t>
        </is>
      </c>
      <c r="B4502" s="1" t="n">
        <v>44852</v>
      </c>
      <c r="C4502" s="1" t="n">
        <v>45211</v>
      </c>
      <c r="D4502" t="inlineStr">
        <is>
          <t>ÖSTERGÖTLANDS LÄN</t>
        </is>
      </c>
      <c r="E4502" t="inlineStr">
        <is>
          <t>FINSPÅNG</t>
        </is>
      </c>
      <c r="F4502" t="inlineStr">
        <is>
          <t>Holmen skog AB</t>
        </is>
      </c>
      <c r="G4502" t="n">
        <v>1.2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s="2" t="inlineStr"/>
    </row>
    <row r="4503" ht="15" customHeight="1">
      <c r="A4503" t="inlineStr">
        <is>
          <t>A 47056-2022</t>
        </is>
      </c>
      <c r="B4503" s="1" t="n">
        <v>44852</v>
      </c>
      <c r="C4503" s="1" t="n">
        <v>45211</v>
      </c>
      <c r="D4503" t="inlineStr">
        <is>
          <t>ÖSTERGÖTLANDS LÄN</t>
        </is>
      </c>
      <c r="E4503" t="inlineStr">
        <is>
          <t>KINDA</t>
        </is>
      </c>
      <c r="G4503" t="n">
        <v>1.5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s="2" t="inlineStr"/>
    </row>
    <row r="4504" ht="15" customHeight="1">
      <c r="A4504" t="inlineStr">
        <is>
          <t>A 47144-2022</t>
        </is>
      </c>
      <c r="B4504" s="1" t="n">
        <v>44852</v>
      </c>
      <c r="C4504" s="1" t="n">
        <v>45211</v>
      </c>
      <c r="D4504" t="inlineStr">
        <is>
          <t>ÖSTERGÖTLANDS LÄN</t>
        </is>
      </c>
      <c r="E4504" t="inlineStr">
        <is>
          <t>BOXHOLM</t>
        </is>
      </c>
      <c r="G4504" t="n">
        <v>0.8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s="2" t="inlineStr"/>
    </row>
    <row r="4505" ht="15" customHeight="1">
      <c r="A4505" t="inlineStr">
        <is>
          <t>A 47510-2022</t>
        </is>
      </c>
      <c r="B4505" s="1" t="n">
        <v>44853</v>
      </c>
      <c r="C4505" s="1" t="n">
        <v>45211</v>
      </c>
      <c r="D4505" t="inlineStr">
        <is>
          <t>ÖSTERGÖTLANDS LÄN</t>
        </is>
      </c>
      <c r="E4505" t="inlineStr">
        <is>
          <t>MOTALA</t>
        </is>
      </c>
      <c r="F4505" t="inlineStr">
        <is>
          <t>Övriga statliga verk och myndigheter</t>
        </is>
      </c>
      <c r="G4505" t="n">
        <v>11.3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s="2" t="inlineStr"/>
    </row>
    <row r="4506" ht="15" customHeight="1">
      <c r="A4506" t="inlineStr">
        <is>
          <t>A 48421-2022</t>
        </is>
      </c>
      <c r="B4506" s="1" t="n">
        <v>44854</v>
      </c>
      <c r="C4506" s="1" t="n">
        <v>45211</v>
      </c>
      <c r="D4506" t="inlineStr">
        <is>
          <t>ÖSTERGÖTLANDS LÄN</t>
        </is>
      </c>
      <c r="E4506" t="inlineStr">
        <is>
          <t>VALDEMARSVIK</t>
        </is>
      </c>
      <c r="G4506" t="n">
        <v>1.3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s="2" t="inlineStr"/>
    </row>
    <row r="4507" ht="15" customHeight="1">
      <c r="A4507" t="inlineStr">
        <is>
          <t>A 48409-2022</t>
        </is>
      </c>
      <c r="B4507" s="1" t="n">
        <v>44854</v>
      </c>
      <c r="C4507" s="1" t="n">
        <v>45211</v>
      </c>
      <c r="D4507" t="inlineStr">
        <is>
          <t>ÖSTERGÖTLANDS LÄN</t>
        </is>
      </c>
      <c r="E4507" t="inlineStr">
        <is>
          <t>VALDEMARSVIK</t>
        </is>
      </c>
      <c r="G4507" t="n">
        <v>1.5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s="2" t="inlineStr"/>
    </row>
    <row r="4508" ht="15" customHeight="1">
      <c r="A4508" t="inlineStr">
        <is>
          <t>A 47680-2022</t>
        </is>
      </c>
      <c r="B4508" s="1" t="n">
        <v>44854</v>
      </c>
      <c r="C4508" s="1" t="n">
        <v>45211</v>
      </c>
      <c r="D4508" t="inlineStr">
        <is>
          <t>ÖSTERGÖTLANDS LÄN</t>
        </is>
      </c>
      <c r="E4508" t="inlineStr">
        <is>
          <t>KINDA</t>
        </is>
      </c>
      <c r="G4508" t="n">
        <v>7.1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s="2" t="inlineStr"/>
    </row>
    <row r="4509" ht="15" customHeight="1">
      <c r="A4509" t="inlineStr">
        <is>
          <t>A 48428-2022</t>
        </is>
      </c>
      <c r="B4509" s="1" t="n">
        <v>44854</v>
      </c>
      <c r="C4509" s="1" t="n">
        <v>45211</v>
      </c>
      <c r="D4509" t="inlineStr">
        <is>
          <t>ÖSTERGÖTLANDS LÄN</t>
        </is>
      </c>
      <c r="E4509" t="inlineStr">
        <is>
          <t>VALDEMARSVIK</t>
        </is>
      </c>
      <c r="G4509" t="n">
        <v>1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s="2" t="inlineStr"/>
    </row>
    <row r="4510" ht="15" customHeight="1">
      <c r="A4510" t="inlineStr">
        <is>
          <t>A 48042-2022</t>
        </is>
      </c>
      <c r="B4510" s="1" t="n">
        <v>44855</v>
      </c>
      <c r="C4510" s="1" t="n">
        <v>45211</v>
      </c>
      <c r="D4510" t="inlineStr">
        <is>
          <t>ÖSTERGÖTLANDS LÄN</t>
        </is>
      </c>
      <c r="E4510" t="inlineStr">
        <is>
          <t>LINKÖPING</t>
        </is>
      </c>
      <c r="G4510" t="n">
        <v>0.5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s="2" t="inlineStr"/>
    </row>
    <row r="4511" ht="15" customHeight="1">
      <c r="A4511" t="inlineStr">
        <is>
          <t>A 47872-2022</t>
        </is>
      </c>
      <c r="B4511" s="1" t="n">
        <v>44855</v>
      </c>
      <c r="C4511" s="1" t="n">
        <v>45211</v>
      </c>
      <c r="D4511" t="inlineStr">
        <is>
          <t>ÖSTERGÖTLANDS LÄN</t>
        </is>
      </c>
      <c r="E4511" t="inlineStr">
        <is>
          <t>LINKÖPING</t>
        </is>
      </c>
      <c r="G4511" t="n">
        <v>2.2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s="2" t="inlineStr"/>
    </row>
    <row r="4512" ht="15" customHeight="1">
      <c r="A4512" t="inlineStr">
        <is>
          <t>A 48829-2022</t>
        </is>
      </c>
      <c r="B4512" s="1" t="n">
        <v>44855</v>
      </c>
      <c r="C4512" s="1" t="n">
        <v>45211</v>
      </c>
      <c r="D4512" t="inlineStr">
        <is>
          <t>ÖSTERGÖTLANDS LÄN</t>
        </is>
      </c>
      <c r="E4512" t="inlineStr">
        <is>
          <t>SÖDERKÖPING</t>
        </is>
      </c>
      <c r="G4512" t="n">
        <v>3.1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s="2" t="inlineStr"/>
    </row>
    <row r="4513" ht="15" customHeight="1">
      <c r="A4513" t="inlineStr">
        <is>
          <t>A 49018-2022</t>
        </is>
      </c>
      <c r="B4513" s="1" t="n">
        <v>44855</v>
      </c>
      <c r="C4513" s="1" t="n">
        <v>45211</v>
      </c>
      <c r="D4513" t="inlineStr">
        <is>
          <t>ÖSTERGÖTLANDS LÄN</t>
        </is>
      </c>
      <c r="E4513" t="inlineStr">
        <is>
          <t>LINKÖPING</t>
        </is>
      </c>
      <c r="F4513" t="inlineStr">
        <is>
          <t>Kommuner</t>
        </is>
      </c>
      <c r="G4513" t="n">
        <v>0.4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s="2" t="inlineStr"/>
    </row>
    <row r="4514" ht="15" customHeight="1">
      <c r="A4514" t="inlineStr">
        <is>
          <t>A 47832-2022</t>
        </is>
      </c>
      <c r="B4514" s="1" t="n">
        <v>44855</v>
      </c>
      <c r="C4514" s="1" t="n">
        <v>45211</v>
      </c>
      <c r="D4514" t="inlineStr">
        <is>
          <t>ÖSTERGÖTLANDS LÄN</t>
        </is>
      </c>
      <c r="E4514" t="inlineStr">
        <is>
          <t>ÅTVIDABERG</t>
        </is>
      </c>
      <c r="G4514" t="n">
        <v>2.2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s="2" t="inlineStr"/>
    </row>
    <row r="4515" ht="15" customHeight="1">
      <c r="A4515" t="inlineStr">
        <is>
          <t>A 47899-2022</t>
        </is>
      </c>
      <c r="B4515" s="1" t="n">
        <v>44855</v>
      </c>
      <c r="C4515" s="1" t="n">
        <v>45211</v>
      </c>
      <c r="D4515" t="inlineStr">
        <is>
          <t>ÖSTERGÖTLANDS LÄN</t>
        </is>
      </c>
      <c r="E4515" t="inlineStr">
        <is>
          <t>FINSPÅNG</t>
        </is>
      </c>
      <c r="F4515" t="inlineStr">
        <is>
          <t>Holmen skog AB</t>
        </is>
      </c>
      <c r="G4515" t="n">
        <v>2.5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s="2" t="inlineStr"/>
    </row>
    <row r="4516" ht="15" customHeight="1">
      <c r="A4516" t="inlineStr">
        <is>
          <t>A 48796-2022</t>
        </is>
      </c>
      <c r="B4516" s="1" t="n">
        <v>44855</v>
      </c>
      <c r="C4516" s="1" t="n">
        <v>45211</v>
      </c>
      <c r="D4516" t="inlineStr">
        <is>
          <t>ÖSTERGÖTLANDS LÄN</t>
        </is>
      </c>
      <c r="E4516" t="inlineStr">
        <is>
          <t>SÖDERKÖPING</t>
        </is>
      </c>
      <c r="G4516" t="n">
        <v>7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s="2" t="inlineStr"/>
    </row>
    <row r="4517" ht="15" customHeight="1">
      <c r="A4517" t="inlineStr">
        <is>
          <t>A 48106-2022</t>
        </is>
      </c>
      <c r="B4517" s="1" t="n">
        <v>44856</v>
      </c>
      <c r="C4517" s="1" t="n">
        <v>45211</v>
      </c>
      <c r="D4517" t="inlineStr">
        <is>
          <t>ÖSTERGÖTLANDS LÄN</t>
        </is>
      </c>
      <c r="E4517" t="inlineStr">
        <is>
          <t>FINSPÅNG</t>
        </is>
      </c>
      <c r="G4517" t="n">
        <v>0.4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s="2" t="inlineStr"/>
    </row>
    <row r="4518" ht="15" customHeight="1">
      <c r="A4518" t="inlineStr">
        <is>
          <t>A 48462-2022</t>
        </is>
      </c>
      <c r="B4518" s="1" t="n">
        <v>44858</v>
      </c>
      <c r="C4518" s="1" t="n">
        <v>45211</v>
      </c>
      <c r="D4518" t="inlineStr">
        <is>
          <t>ÖSTERGÖTLANDS LÄN</t>
        </is>
      </c>
      <c r="E4518" t="inlineStr">
        <is>
          <t>NORRKÖPING</t>
        </is>
      </c>
      <c r="F4518" t="inlineStr">
        <is>
          <t>Holmen skog AB</t>
        </is>
      </c>
      <c r="G4518" t="n">
        <v>2.9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s="2" t="inlineStr"/>
    </row>
    <row r="4519" ht="15" customHeight="1">
      <c r="A4519" t="inlineStr">
        <is>
          <t>A 48164-2022</t>
        </is>
      </c>
      <c r="B4519" s="1" t="n">
        <v>44858</v>
      </c>
      <c r="C4519" s="1" t="n">
        <v>45211</v>
      </c>
      <c r="D4519" t="inlineStr">
        <is>
          <t>ÖSTERGÖTLANDS LÄN</t>
        </is>
      </c>
      <c r="E4519" t="inlineStr">
        <is>
          <t>MOTALA</t>
        </is>
      </c>
      <c r="F4519" t="inlineStr">
        <is>
          <t>Allmännings- och besparingsskogar</t>
        </is>
      </c>
      <c r="G4519" t="n">
        <v>3.2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s="2" t="inlineStr"/>
    </row>
    <row r="4520" ht="15" customHeight="1">
      <c r="A4520" t="inlineStr">
        <is>
          <t>A 48186-2022</t>
        </is>
      </c>
      <c r="B4520" s="1" t="n">
        <v>44858</v>
      </c>
      <c r="C4520" s="1" t="n">
        <v>45211</v>
      </c>
      <c r="D4520" t="inlineStr">
        <is>
          <t>ÖSTERGÖTLANDS LÄN</t>
        </is>
      </c>
      <c r="E4520" t="inlineStr">
        <is>
          <t>LINKÖPING</t>
        </is>
      </c>
      <c r="G4520" t="n">
        <v>1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s="2" t="inlineStr"/>
    </row>
    <row r="4521" ht="15" customHeight="1">
      <c r="A4521" t="inlineStr">
        <is>
          <t>A 48325-2022</t>
        </is>
      </c>
      <c r="B4521" s="1" t="n">
        <v>44858</v>
      </c>
      <c r="C4521" s="1" t="n">
        <v>45211</v>
      </c>
      <c r="D4521" t="inlineStr">
        <is>
          <t>ÖSTERGÖTLANDS LÄN</t>
        </is>
      </c>
      <c r="E4521" t="inlineStr">
        <is>
          <t>ÖDESHÖG</t>
        </is>
      </c>
      <c r="F4521" t="inlineStr">
        <is>
          <t>Allmännings- och besparingsskogar</t>
        </is>
      </c>
      <c r="G4521" t="n">
        <v>1.8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s="2" t="inlineStr"/>
    </row>
    <row r="4522" ht="15" customHeight="1">
      <c r="A4522" t="inlineStr">
        <is>
          <t>A 48344-2022</t>
        </is>
      </c>
      <c r="B4522" s="1" t="n">
        <v>44858</v>
      </c>
      <c r="C4522" s="1" t="n">
        <v>45211</v>
      </c>
      <c r="D4522" t="inlineStr">
        <is>
          <t>ÖSTERGÖTLANDS LÄN</t>
        </is>
      </c>
      <c r="E4522" t="inlineStr">
        <is>
          <t>YDRE</t>
        </is>
      </c>
      <c r="F4522" t="inlineStr">
        <is>
          <t>Övriga Aktiebolag</t>
        </is>
      </c>
      <c r="G4522" t="n">
        <v>7.6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s="2" t="inlineStr"/>
    </row>
    <row r="4523" ht="15" customHeight="1">
      <c r="A4523" t="inlineStr">
        <is>
          <t>A 48373-2022</t>
        </is>
      </c>
      <c r="B4523" s="1" t="n">
        <v>44858</v>
      </c>
      <c r="C4523" s="1" t="n">
        <v>45211</v>
      </c>
      <c r="D4523" t="inlineStr">
        <is>
          <t>ÖSTERGÖTLANDS LÄN</t>
        </is>
      </c>
      <c r="E4523" t="inlineStr">
        <is>
          <t>BOXHOLM</t>
        </is>
      </c>
      <c r="F4523" t="inlineStr">
        <is>
          <t>Övriga Aktiebolag</t>
        </is>
      </c>
      <c r="G4523" t="n">
        <v>1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s="2" t="inlineStr"/>
    </row>
    <row r="4524" ht="15" customHeight="1">
      <c r="A4524" t="inlineStr">
        <is>
          <t>A 49229-2022</t>
        </is>
      </c>
      <c r="B4524" s="1" t="n">
        <v>44858</v>
      </c>
      <c r="C4524" s="1" t="n">
        <v>45211</v>
      </c>
      <c r="D4524" t="inlineStr">
        <is>
          <t>ÖSTERGÖTLANDS LÄN</t>
        </is>
      </c>
      <c r="E4524" t="inlineStr">
        <is>
          <t>ÅTVIDABERG</t>
        </is>
      </c>
      <c r="G4524" t="n">
        <v>1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s="2" t="inlineStr"/>
    </row>
    <row r="4525" ht="15" customHeight="1">
      <c r="A4525" t="inlineStr">
        <is>
          <t>A 48862-2022</t>
        </is>
      </c>
      <c r="B4525" s="1" t="n">
        <v>44859</v>
      </c>
      <c r="C4525" s="1" t="n">
        <v>45211</v>
      </c>
      <c r="D4525" t="inlineStr">
        <is>
          <t>ÖSTERGÖTLANDS LÄN</t>
        </is>
      </c>
      <c r="E4525" t="inlineStr">
        <is>
          <t>SÖDERKÖPING</t>
        </is>
      </c>
      <c r="G4525" t="n">
        <v>0.7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s="2" t="inlineStr"/>
    </row>
    <row r="4526" ht="15" customHeight="1">
      <c r="A4526" t="inlineStr">
        <is>
          <t>A 48839-2022</t>
        </is>
      </c>
      <c r="B4526" s="1" t="n">
        <v>44859</v>
      </c>
      <c r="C4526" s="1" t="n">
        <v>45211</v>
      </c>
      <c r="D4526" t="inlineStr">
        <is>
          <t>ÖSTERGÖTLANDS LÄN</t>
        </is>
      </c>
      <c r="E4526" t="inlineStr">
        <is>
          <t>LINKÖPING</t>
        </is>
      </c>
      <c r="F4526" t="inlineStr">
        <is>
          <t>Övriga Aktiebolag</t>
        </is>
      </c>
      <c r="G4526" t="n">
        <v>0.6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s="2" t="inlineStr"/>
    </row>
    <row r="4527" ht="15" customHeight="1">
      <c r="A4527" t="inlineStr">
        <is>
          <t>A 48669-2022</t>
        </is>
      </c>
      <c r="B4527" s="1" t="n">
        <v>44859</v>
      </c>
      <c r="C4527" s="1" t="n">
        <v>45211</v>
      </c>
      <c r="D4527" t="inlineStr">
        <is>
          <t>ÖSTERGÖTLANDS LÄN</t>
        </is>
      </c>
      <c r="E4527" t="inlineStr">
        <is>
          <t>FINSPÅNG</t>
        </is>
      </c>
      <c r="G4527" t="n">
        <v>1.5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s="2" t="inlineStr"/>
    </row>
    <row r="4528" ht="15" customHeight="1">
      <c r="A4528" t="inlineStr">
        <is>
          <t>A 48684-2022</t>
        </is>
      </c>
      <c r="B4528" s="1" t="n">
        <v>44859</v>
      </c>
      <c r="C4528" s="1" t="n">
        <v>45211</v>
      </c>
      <c r="D4528" t="inlineStr">
        <is>
          <t>ÖSTERGÖTLANDS LÄN</t>
        </is>
      </c>
      <c r="E4528" t="inlineStr">
        <is>
          <t>FINSPÅNG</t>
        </is>
      </c>
      <c r="G4528" t="n">
        <v>3.1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s="2" t="inlineStr"/>
    </row>
    <row r="4529" ht="15" customHeight="1">
      <c r="A4529" t="inlineStr">
        <is>
          <t>A 48850-2022</t>
        </is>
      </c>
      <c r="B4529" s="1" t="n">
        <v>44859</v>
      </c>
      <c r="C4529" s="1" t="n">
        <v>45211</v>
      </c>
      <c r="D4529" t="inlineStr">
        <is>
          <t>ÖSTERGÖTLANDS LÄN</t>
        </is>
      </c>
      <c r="E4529" t="inlineStr">
        <is>
          <t>VALDEMARSVIK</t>
        </is>
      </c>
      <c r="G4529" t="n">
        <v>0.9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s="2" t="inlineStr"/>
    </row>
    <row r="4530" ht="15" customHeight="1">
      <c r="A4530" t="inlineStr">
        <is>
          <t>A 48861-2022</t>
        </is>
      </c>
      <c r="B4530" s="1" t="n">
        <v>44859</v>
      </c>
      <c r="C4530" s="1" t="n">
        <v>45211</v>
      </c>
      <c r="D4530" t="inlineStr">
        <is>
          <t>ÖSTERGÖTLANDS LÄN</t>
        </is>
      </c>
      <c r="E4530" t="inlineStr">
        <is>
          <t>SÖDERKÖPING</t>
        </is>
      </c>
      <c r="G4530" t="n">
        <v>0.9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s="2" t="inlineStr"/>
    </row>
    <row r="4531" ht="15" customHeight="1">
      <c r="A4531" t="inlineStr">
        <is>
          <t>A 49391-2022</t>
        </is>
      </c>
      <c r="B4531" s="1" t="n">
        <v>44859</v>
      </c>
      <c r="C4531" s="1" t="n">
        <v>45211</v>
      </c>
      <c r="D4531" t="inlineStr">
        <is>
          <t>ÖSTERGÖTLANDS LÄN</t>
        </is>
      </c>
      <c r="E4531" t="inlineStr">
        <is>
          <t>LINKÖPING</t>
        </is>
      </c>
      <c r="G4531" t="n">
        <v>2.4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s="2" t="inlineStr"/>
    </row>
    <row r="4532" ht="15" customHeight="1">
      <c r="A4532" t="inlineStr">
        <is>
          <t>A 49446-2022</t>
        </is>
      </c>
      <c r="B4532" s="1" t="n">
        <v>44859</v>
      </c>
      <c r="C4532" s="1" t="n">
        <v>45211</v>
      </c>
      <c r="D4532" t="inlineStr">
        <is>
          <t>ÖSTERGÖTLANDS LÄN</t>
        </is>
      </c>
      <c r="E4532" t="inlineStr">
        <is>
          <t>FINSPÅNG</t>
        </is>
      </c>
      <c r="G4532" t="n">
        <v>3.9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s="2" t="inlineStr"/>
    </row>
    <row r="4533" ht="15" customHeight="1">
      <c r="A4533" t="inlineStr">
        <is>
          <t>A 48670-2022</t>
        </is>
      </c>
      <c r="B4533" s="1" t="n">
        <v>44859</v>
      </c>
      <c r="C4533" s="1" t="n">
        <v>45211</v>
      </c>
      <c r="D4533" t="inlineStr">
        <is>
          <t>ÖSTERGÖTLANDS LÄN</t>
        </is>
      </c>
      <c r="E4533" t="inlineStr">
        <is>
          <t>FINSPÅNG</t>
        </is>
      </c>
      <c r="G4533" t="n">
        <v>0.4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s="2" t="inlineStr"/>
    </row>
    <row r="4534" ht="15" customHeight="1">
      <c r="A4534" t="inlineStr">
        <is>
          <t>A 48994-2022</t>
        </is>
      </c>
      <c r="B4534" s="1" t="n">
        <v>44860</v>
      </c>
      <c r="C4534" s="1" t="n">
        <v>45211</v>
      </c>
      <c r="D4534" t="inlineStr">
        <is>
          <t>ÖSTERGÖTLANDS LÄN</t>
        </is>
      </c>
      <c r="E4534" t="inlineStr">
        <is>
          <t>ÅTVIDABERG</t>
        </is>
      </c>
      <c r="F4534" t="inlineStr">
        <is>
          <t>Holmen skog AB</t>
        </is>
      </c>
      <c r="G4534" t="n">
        <v>3.7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s="2" t="inlineStr"/>
    </row>
    <row r="4535" ht="15" customHeight="1">
      <c r="A4535" t="inlineStr">
        <is>
          <t>A 49060-2022</t>
        </is>
      </c>
      <c r="B4535" s="1" t="n">
        <v>44860</v>
      </c>
      <c r="C4535" s="1" t="n">
        <v>45211</v>
      </c>
      <c r="D4535" t="inlineStr">
        <is>
          <t>ÖSTERGÖTLANDS LÄN</t>
        </is>
      </c>
      <c r="E4535" t="inlineStr">
        <is>
          <t>NORRKÖPING</t>
        </is>
      </c>
      <c r="G4535" t="n">
        <v>1.1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s="2" t="inlineStr"/>
    </row>
    <row r="4536" ht="15" customHeight="1">
      <c r="A4536" t="inlineStr">
        <is>
          <t>A 50035-2022</t>
        </is>
      </c>
      <c r="B4536" s="1" t="n">
        <v>44860</v>
      </c>
      <c r="C4536" s="1" t="n">
        <v>45211</v>
      </c>
      <c r="D4536" t="inlineStr">
        <is>
          <t>ÖSTERGÖTLANDS LÄN</t>
        </is>
      </c>
      <c r="E4536" t="inlineStr">
        <is>
          <t>MOTALA</t>
        </is>
      </c>
      <c r="G4536" t="n">
        <v>3.7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s="2" t="inlineStr"/>
    </row>
    <row r="4537" ht="15" customHeight="1">
      <c r="A4537" t="inlineStr">
        <is>
          <t>A 49062-2022</t>
        </is>
      </c>
      <c r="B4537" s="1" t="n">
        <v>44860</v>
      </c>
      <c r="C4537" s="1" t="n">
        <v>45211</v>
      </c>
      <c r="D4537" t="inlineStr">
        <is>
          <t>ÖSTERGÖTLANDS LÄN</t>
        </is>
      </c>
      <c r="E4537" t="inlineStr">
        <is>
          <t>NORRKÖPING</t>
        </is>
      </c>
      <c r="G4537" t="n">
        <v>1.4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s="2" t="inlineStr"/>
    </row>
    <row r="4538" ht="15" customHeight="1">
      <c r="A4538" t="inlineStr">
        <is>
          <t>A 50051-2022</t>
        </is>
      </c>
      <c r="B4538" s="1" t="n">
        <v>44860</v>
      </c>
      <c r="C4538" s="1" t="n">
        <v>45211</v>
      </c>
      <c r="D4538" t="inlineStr">
        <is>
          <t>ÖSTERGÖTLANDS LÄN</t>
        </is>
      </c>
      <c r="E4538" t="inlineStr">
        <is>
          <t>MOTALA</t>
        </is>
      </c>
      <c r="G4538" t="n">
        <v>2.8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s="2" t="inlineStr"/>
    </row>
    <row r="4539" ht="15" customHeight="1">
      <c r="A4539" t="inlineStr">
        <is>
          <t>A 48967-2022</t>
        </is>
      </c>
      <c r="B4539" s="1" t="n">
        <v>44860</v>
      </c>
      <c r="C4539" s="1" t="n">
        <v>45211</v>
      </c>
      <c r="D4539" t="inlineStr">
        <is>
          <t>ÖSTERGÖTLANDS LÄN</t>
        </is>
      </c>
      <c r="E4539" t="inlineStr">
        <is>
          <t>ÅTVIDABERG</t>
        </is>
      </c>
      <c r="F4539" t="inlineStr">
        <is>
          <t>Holmen skog AB</t>
        </is>
      </c>
      <c r="G4539" t="n">
        <v>1.4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s="2" t="inlineStr"/>
    </row>
    <row r="4540" ht="15" customHeight="1">
      <c r="A4540" t="inlineStr">
        <is>
          <t>A 49096-2022</t>
        </is>
      </c>
      <c r="B4540" s="1" t="n">
        <v>44860</v>
      </c>
      <c r="C4540" s="1" t="n">
        <v>45211</v>
      </c>
      <c r="D4540" t="inlineStr">
        <is>
          <t>ÖSTERGÖTLANDS LÄN</t>
        </is>
      </c>
      <c r="E4540" t="inlineStr">
        <is>
          <t>KINDA</t>
        </is>
      </c>
      <c r="G4540" t="n">
        <v>5.1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s="2" t="inlineStr"/>
    </row>
    <row r="4541" ht="15" customHeight="1">
      <c r="A4541" t="inlineStr">
        <is>
          <t>A 49154-2022</t>
        </is>
      </c>
      <c r="B4541" s="1" t="n">
        <v>44860</v>
      </c>
      <c r="C4541" s="1" t="n">
        <v>45211</v>
      </c>
      <c r="D4541" t="inlineStr">
        <is>
          <t>ÖSTERGÖTLANDS LÄN</t>
        </is>
      </c>
      <c r="E4541" t="inlineStr">
        <is>
          <t>FINSPÅNG</t>
        </is>
      </c>
      <c r="G4541" t="n">
        <v>0.5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s="2" t="inlineStr"/>
    </row>
    <row r="4542" ht="15" customHeight="1">
      <c r="A4542" t="inlineStr">
        <is>
          <t>A 50063-2022</t>
        </is>
      </c>
      <c r="B4542" s="1" t="n">
        <v>44860</v>
      </c>
      <c r="C4542" s="1" t="n">
        <v>45211</v>
      </c>
      <c r="D4542" t="inlineStr">
        <is>
          <t>ÖSTERGÖTLANDS LÄN</t>
        </is>
      </c>
      <c r="E4542" t="inlineStr">
        <is>
          <t>FINSPÅNG</t>
        </is>
      </c>
      <c r="G4542" t="n">
        <v>2.5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s="2" t="inlineStr"/>
    </row>
    <row r="4543" ht="15" customHeight="1">
      <c r="A4543" t="inlineStr">
        <is>
          <t>A 48977-2022</t>
        </is>
      </c>
      <c r="B4543" s="1" t="n">
        <v>44860</v>
      </c>
      <c r="C4543" s="1" t="n">
        <v>45211</v>
      </c>
      <c r="D4543" t="inlineStr">
        <is>
          <t>ÖSTERGÖTLANDS LÄN</t>
        </is>
      </c>
      <c r="E4543" t="inlineStr">
        <is>
          <t>ÅTVIDABERG</t>
        </is>
      </c>
      <c r="F4543" t="inlineStr">
        <is>
          <t>Holmen skog AB</t>
        </is>
      </c>
      <c r="G4543" t="n">
        <v>1.1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s="2" t="inlineStr"/>
    </row>
    <row r="4544" ht="15" customHeight="1">
      <c r="A4544" t="inlineStr">
        <is>
          <t>A 49155-2022</t>
        </is>
      </c>
      <c r="B4544" s="1" t="n">
        <v>44860</v>
      </c>
      <c r="C4544" s="1" t="n">
        <v>45211</v>
      </c>
      <c r="D4544" t="inlineStr">
        <is>
          <t>ÖSTERGÖTLANDS LÄN</t>
        </is>
      </c>
      <c r="E4544" t="inlineStr">
        <is>
          <t>FINSPÅNG</t>
        </is>
      </c>
      <c r="G4544" t="n">
        <v>0.6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s="2" t="inlineStr"/>
    </row>
    <row r="4545" ht="15" customHeight="1">
      <c r="A4545" t="inlineStr">
        <is>
          <t>A 50077-2022</t>
        </is>
      </c>
      <c r="B4545" s="1" t="n">
        <v>44860</v>
      </c>
      <c r="C4545" s="1" t="n">
        <v>45211</v>
      </c>
      <c r="D4545" t="inlineStr">
        <is>
          <t>ÖSTERGÖTLANDS LÄN</t>
        </is>
      </c>
      <c r="E4545" t="inlineStr">
        <is>
          <t>FINSPÅNG</t>
        </is>
      </c>
      <c r="G4545" t="n">
        <v>0.8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s="2" t="inlineStr"/>
    </row>
    <row r="4546" ht="15" customHeight="1">
      <c r="A4546" t="inlineStr">
        <is>
          <t>A 49227-2022</t>
        </is>
      </c>
      <c r="B4546" s="1" t="n">
        <v>44861</v>
      </c>
      <c r="C4546" s="1" t="n">
        <v>45211</v>
      </c>
      <c r="D4546" t="inlineStr">
        <is>
          <t>ÖSTERGÖTLANDS LÄN</t>
        </is>
      </c>
      <c r="E4546" t="inlineStr">
        <is>
          <t>SÖDERKÖPING</t>
        </is>
      </c>
      <c r="G4546" t="n">
        <v>2.7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s="2" t="inlineStr"/>
    </row>
    <row r="4547" ht="15" customHeight="1">
      <c r="A4547" t="inlineStr">
        <is>
          <t>A 49456-2022</t>
        </is>
      </c>
      <c r="B4547" s="1" t="n">
        <v>44861</v>
      </c>
      <c r="C4547" s="1" t="n">
        <v>45211</v>
      </c>
      <c r="D4547" t="inlineStr">
        <is>
          <t>ÖSTERGÖTLANDS LÄN</t>
        </is>
      </c>
      <c r="E4547" t="inlineStr">
        <is>
          <t>NORRKÖPING</t>
        </is>
      </c>
      <c r="G4547" t="n">
        <v>10.1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s="2" t="inlineStr"/>
    </row>
    <row r="4548" ht="15" customHeight="1">
      <c r="A4548" t="inlineStr">
        <is>
          <t>A 49494-2022</t>
        </is>
      </c>
      <c r="B4548" s="1" t="n">
        <v>44861</v>
      </c>
      <c r="C4548" s="1" t="n">
        <v>45211</v>
      </c>
      <c r="D4548" t="inlineStr">
        <is>
          <t>ÖSTERGÖTLANDS LÄN</t>
        </is>
      </c>
      <c r="E4548" t="inlineStr">
        <is>
          <t>FINSPÅNG</t>
        </is>
      </c>
      <c r="F4548" t="inlineStr">
        <is>
          <t>Naturvårdsverket</t>
        </is>
      </c>
      <c r="G4548" t="n">
        <v>1.7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s="2" t="inlineStr"/>
    </row>
    <row r="4549" ht="15" customHeight="1">
      <c r="A4549" t="inlineStr">
        <is>
          <t>A 49487-2022</t>
        </is>
      </c>
      <c r="B4549" s="1" t="n">
        <v>44861</v>
      </c>
      <c r="C4549" s="1" t="n">
        <v>45211</v>
      </c>
      <c r="D4549" t="inlineStr">
        <is>
          <t>ÖSTERGÖTLANDS LÄN</t>
        </is>
      </c>
      <c r="E4549" t="inlineStr">
        <is>
          <t>NORRKÖPING</t>
        </is>
      </c>
      <c r="F4549" t="inlineStr">
        <is>
          <t>Holmen skog AB</t>
        </is>
      </c>
      <c r="G4549" t="n">
        <v>8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s="2" t="inlineStr"/>
    </row>
    <row r="4550" ht="15" customHeight="1">
      <c r="A4550" t="inlineStr">
        <is>
          <t>A 49349-2022</t>
        </is>
      </c>
      <c r="B4550" s="1" t="n">
        <v>44861</v>
      </c>
      <c r="C4550" s="1" t="n">
        <v>45211</v>
      </c>
      <c r="D4550" t="inlineStr">
        <is>
          <t>ÖSTERGÖTLANDS LÄN</t>
        </is>
      </c>
      <c r="E4550" t="inlineStr">
        <is>
          <t>KINDA</t>
        </is>
      </c>
      <c r="G4550" t="n">
        <v>0.6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s="2" t="inlineStr"/>
    </row>
    <row r="4551" ht="15" customHeight="1">
      <c r="A4551" t="inlineStr">
        <is>
          <t>A 49372-2022</t>
        </is>
      </c>
      <c r="B4551" s="1" t="n">
        <v>44861</v>
      </c>
      <c r="C4551" s="1" t="n">
        <v>45211</v>
      </c>
      <c r="D4551" t="inlineStr">
        <is>
          <t>ÖSTERGÖTLANDS LÄN</t>
        </is>
      </c>
      <c r="E4551" t="inlineStr">
        <is>
          <t>ÅTVIDABERG</t>
        </is>
      </c>
      <c r="G4551" t="n">
        <v>1.6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s="2" t="inlineStr"/>
    </row>
    <row r="4552" ht="15" customHeight="1">
      <c r="A4552" t="inlineStr">
        <is>
          <t>A 49569-2022</t>
        </is>
      </c>
      <c r="B4552" s="1" t="n">
        <v>44862</v>
      </c>
      <c r="C4552" s="1" t="n">
        <v>45211</v>
      </c>
      <c r="D4552" t="inlineStr">
        <is>
          <t>ÖSTERGÖTLANDS LÄN</t>
        </is>
      </c>
      <c r="E4552" t="inlineStr">
        <is>
          <t>SÖDERKÖPING</t>
        </is>
      </c>
      <c r="G4552" t="n">
        <v>0.5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s="2" t="inlineStr"/>
    </row>
    <row r="4553" ht="15" customHeight="1">
      <c r="A4553" t="inlineStr">
        <is>
          <t>A 49677-2022</t>
        </is>
      </c>
      <c r="B4553" s="1" t="n">
        <v>44862</v>
      </c>
      <c r="C4553" s="1" t="n">
        <v>45211</v>
      </c>
      <c r="D4553" t="inlineStr">
        <is>
          <t>ÖSTERGÖTLANDS LÄN</t>
        </is>
      </c>
      <c r="E4553" t="inlineStr">
        <is>
          <t>FINSPÅNG</t>
        </is>
      </c>
      <c r="F4553" t="inlineStr">
        <is>
          <t>Holmen skog AB</t>
        </is>
      </c>
      <c r="G4553" t="n">
        <v>9.6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s="2" t="inlineStr"/>
    </row>
    <row r="4554" ht="15" customHeight="1">
      <c r="A4554" t="inlineStr">
        <is>
          <t>A 50782-2022</t>
        </is>
      </c>
      <c r="B4554" s="1" t="n">
        <v>44862</v>
      </c>
      <c r="C4554" s="1" t="n">
        <v>45211</v>
      </c>
      <c r="D4554" t="inlineStr">
        <is>
          <t>ÖSTERGÖTLANDS LÄN</t>
        </is>
      </c>
      <c r="E4554" t="inlineStr">
        <is>
          <t>ÅTVIDABERG</t>
        </is>
      </c>
      <c r="F4554" t="inlineStr">
        <is>
          <t>Övriga statliga verk och myndigheter</t>
        </is>
      </c>
      <c r="G4554" t="n">
        <v>1.3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s="2" t="inlineStr"/>
    </row>
    <row r="4555" ht="15" customHeight="1">
      <c r="A4555" t="inlineStr">
        <is>
          <t>A 49617-2022</t>
        </is>
      </c>
      <c r="B4555" s="1" t="n">
        <v>44862</v>
      </c>
      <c r="C4555" s="1" t="n">
        <v>45211</v>
      </c>
      <c r="D4555" t="inlineStr">
        <is>
          <t>ÖSTERGÖTLANDS LÄN</t>
        </is>
      </c>
      <c r="E4555" t="inlineStr">
        <is>
          <t>NORRKÖPING</t>
        </is>
      </c>
      <c r="F4555" t="inlineStr">
        <is>
          <t>Holmen skog AB</t>
        </is>
      </c>
      <c r="G4555" t="n">
        <v>9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s="2" t="inlineStr"/>
    </row>
    <row r="4556" ht="15" customHeight="1">
      <c r="A4556" t="inlineStr">
        <is>
          <t>A 50756-2022</t>
        </is>
      </c>
      <c r="B4556" s="1" t="n">
        <v>44862</v>
      </c>
      <c r="C4556" s="1" t="n">
        <v>45211</v>
      </c>
      <c r="D4556" t="inlineStr">
        <is>
          <t>ÖSTERGÖTLANDS LÄN</t>
        </is>
      </c>
      <c r="E4556" t="inlineStr">
        <is>
          <t>ÅTVIDABERG</t>
        </is>
      </c>
      <c r="F4556" t="inlineStr">
        <is>
          <t>Övriga statliga verk och myndigheter</t>
        </is>
      </c>
      <c r="G4556" t="n">
        <v>15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s="2" t="inlineStr"/>
    </row>
    <row r="4557" ht="15" customHeight="1">
      <c r="A4557" t="inlineStr">
        <is>
          <t>A 50784-2022</t>
        </is>
      </c>
      <c r="B4557" s="1" t="n">
        <v>44862</v>
      </c>
      <c r="C4557" s="1" t="n">
        <v>45211</v>
      </c>
      <c r="D4557" t="inlineStr">
        <is>
          <t>ÖSTERGÖTLANDS LÄN</t>
        </is>
      </c>
      <c r="E4557" t="inlineStr">
        <is>
          <t>LINKÖPING</t>
        </is>
      </c>
      <c r="G4557" t="n">
        <v>0.7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s="2" t="inlineStr"/>
    </row>
    <row r="4558" ht="15" customHeight="1">
      <c r="A4558" t="inlineStr">
        <is>
          <t>A 50802-2022</t>
        </is>
      </c>
      <c r="B4558" s="1" t="n">
        <v>44862</v>
      </c>
      <c r="C4558" s="1" t="n">
        <v>45211</v>
      </c>
      <c r="D4558" t="inlineStr">
        <is>
          <t>ÖSTERGÖTLANDS LÄN</t>
        </is>
      </c>
      <c r="E4558" t="inlineStr">
        <is>
          <t>LINKÖPING</t>
        </is>
      </c>
      <c r="G4558" t="n">
        <v>1.2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s="2" t="inlineStr"/>
    </row>
    <row r="4559" ht="15" customHeight="1">
      <c r="A4559" t="inlineStr">
        <is>
          <t>A 49778-2022</t>
        </is>
      </c>
      <c r="B4559" s="1" t="n">
        <v>44862</v>
      </c>
      <c r="C4559" s="1" t="n">
        <v>45211</v>
      </c>
      <c r="D4559" t="inlineStr">
        <is>
          <t>ÖSTERGÖTLANDS LÄN</t>
        </is>
      </c>
      <c r="E4559" t="inlineStr">
        <is>
          <t>NORRKÖPING</t>
        </is>
      </c>
      <c r="G4559" t="n">
        <v>2.1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s="2" t="inlineStr"/>
    </row>
    <row r="4560" ht="15" customHeight="1">
      <c r="A4560" t="inlineStr">
        <is>
          <t>A 49799-2022</t>
        </is>
      </c>
      <c r="B4560" s="1" t="n">
        <v>44862</v>
      </c>
      <c r="C4560" s="1" t="n">
        <v>45211</v>
      </c>
      <c r="D4560" t="inlineStr">
        <is>
          <t>ÖSTERGÖTLANDS LÄN</t>
        </is>
      </c>
      <c r="E4560" t="inlineStr">
        <is>
          <t>NORRKÖPING</t>
        </is>
      </c>
      <c r="F4560" t="inlineStr">
        <is>
          <t>Holmen skog AB</t>
        </is>
      </c>
      <c r="G4560" t="n">
        <v>1.8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s="2" t="inlineStr"/>
    </row>
    <row r="4561" ht="15" customHeight="1">
      <c r="A4561" t="inlineStr">
        <is>
          <t>A 50794-2022</t>
        </is>
      </c>
      <c r="B4561" s="1" t="n">
        <v>44862</v>
      </c>
      <c r="C4561" s="1" t="n">
        <v>45211</v>
      </c>
      <c r="D4561" t="inlineStr">
        <is>
          <t>ÖSTERGÖTLANDS LÄN</t>
        </is>
      </c>
      <c r="E4561" t="inlineStr">
        <is>
          <t>LINKÖPING</t>
        </is>
      </c>
      <c r="G4561" t="n">
        <v>1.4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s="2" t="inlineStr"/>
    </row>
    <row r="4562" ht="15" customHeight="1">
      <c r="A4562" t="inlineStr">
        <is>
          <t>A 49877-2022</t>
        </is>
      </c>
      <c r="B4562" s="1" t="n">
        <v>44864</v>
      </c>
      <c r="C4562" s="1" t="n">
        <v>45211</v>
      </c>
      <c r="D4562" t="inlineStr">
        <is>
          <t>ÖSTERGÖTLANDS LÄN</t>
        </is>
      </c>
      <c r="E4562" t="inlineStr">
        <is>
          <t>FINSPÅNG</t>
        </is>
      </c>
      <c r="G4562" t="n">
        <v>0.6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s="2" t="inlineStr"/>
    </row>
    <row r="4563" ht="15" customHeight="1">
      <c r="A4563" t="inlineStr">
        <is>
          <t>A 50216-2022</t>
        </is>
      </c>
      <c r="B4563" s="1" t="n">
        <v>44865</v>
      </c>
      <c r="C4563" s="1" t="n">
        <v>45211</v>
      </c>
      <c r="D4563" t="inlineStr">
        <is>
          <t>ÖSTERGÖTLANDS LÄN</t>
        </is>
      </c>
      <c r="E4563" t="inlineStr">
        <is>
          <t>FINSPÅNG</t>
        </is>
      </c>
      <c r="F4563" t="inlineStr">
        <is>
          <t>Holmen skog AB</t>
        </is>
      </c>
      <c r="G4563" t="n">
        <v>2.6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s="2" t="inlineStr"/>
    </row>
    <row r="4564" ht="15" customHeight="1">
      <c r="A4564" t="inlineStr">
        <is>
          <t>A 50241-2022</t>
        </is>
      </c>
      <c r="B4564" s="1" t="n">
        <v>44865</v>
      </c>
      <c r="C4564" s="1" t="n">
        <v>45211</v>
      </c>
      <c r="D4564" t="inlineStr">
        <is>
          <t>ÖSTERGÖTLANDS LÄN</t>
        </is>
      </c>
      <c r="E4564" t="inlineStr">
        <is>
          <t>SÖDERKÖPING</t>
        </is>
      </c>
      <c r="G4564" t="n">
        <v>1.3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s="2" t="inlineStr"/>
    </row>
    <row r="4565" ht="15" customHeight="1">
      <c r="A4565" t="inlineStr">
        <is>
          <t>A 50341-2022</t>
        </is>
      </c>
      <c r="B4565" s="1" t="n">
        <v>44865</v>
      </c>
      <c r="C4565" s="1" t="n">
        <v>45211</v>
      </c>
      <c r="D4565" t="inlineStr">
        <is>
          <t>ÖSTERGÖTLANDS LÄN</t>
        </is>
      </c>
      <c r="E4565" t="inlineStr">
        <is>
          <t>FINSPÅNG</t>
        </is>
      </c>
      <c r="G4565" t="n">
        <v>2.8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s="2" t="inlineStr"/>
    </row>
    <row r="4566" ht="15" customHeight="1">
      <c r="A4566" t="inlineStr">
        <is>
          <t>A 49920-2022</t>
        </is>
      </c>
      <c r="B4566" s="1" t="n">
        <v>44865</v>
      </c>
      <c r="C4566" s="1" t="n">
        <v>45211</v>
      </c>
      <c r="D4566" t="inlineStr">
        <is>
          <t>ÖSTERGÖTLANDS LÄN</t>
        </is>
      </c>
      <c r="E4566" t="inlineStr">
        <is>
          <t>ÖDESHÖG</t>
        </is>
      </c>
      <c r="G4566" t="n">
        <v>2.4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s="2" t="inlineStr"/>
    </row>
    <row r="4567" ht="15" customHeight="1">
      <c r="A4567" t="inlineStr">
        <is>
          <t>A 50082-2022</t>
        </is>
      </c>
      <c r="B4567" s="1" t="n">
        <v>44865</v>
      </c>
      <c r="C4567" s="1" t="n">
        <v>45211</v>
      </c>
      <c r="D4567" t="inlineStr">
        <is>
          <t>ÖSTERGÖTLANDS LÄN</t>
        </is>
      </c>
      <c r="E4567" t="inlineStr">
        <is>
          <t>MOTALA</t>
        </is>
      </c>
      <c r="G4567" t="n">
        <v>2.8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s="2" t="inlineStr"/>
    </row>
    <row r="4568" ht="15" customHeight="1">
      <c r="A4568" t="inlineStr">
        <is>
          <t>A 50157-2022</t>
        </is>
      </c>
      <c r="B4568" s="1" t="n">
        <v>44865</v>
      </c>
      <c r="C4568" s="1" t="n">
        <v>45211</v>
      </c>
      <c r="D4568" t="inlineStr">
        <is>
          <t>ÖSTERGÖTLANDS LÄN</t>
        </is>
      </c>
      <c r="E4568" t="inlineStr">
        <is>
          <t>NORRKÖPING</t>
        </is>
      </c>
      <c r="G4568" t="n">
        <v>0.9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s="2" t="inlineStr"/>
    </row>
    <row r="4569" ht="15" customHeight="1">
      <c r="A4569" t="inlineStr">
        <is>
          <t>A 50190-2022</t>
        </is>
      </c>
      <c r="B4569" s="1" t="n">
        <v>44865</v>
      </c>
      <c r="C4569" s="1" t="n">
        <v>45211</v>
      </c>
      <c r="D4569" t="inlineStr">
        <is>
          <t>ÖSTERGÖTLANDS LÄN</t>
        </is>
      </c>
      <c r="E4569" t="inlineStr">
        <is>
          <t>ÅTVIDABERG</t>
        </is>
      </c>
      <c r="G4569" t="n">
        <v>2.5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s="2" t="inlineStr"/>
    </row>
    <row r="4570" ht="15" customHeight="1">
      <c r="A4570" t="inlineStr">
        <is>
          <t>A 50248-2022</t>
        </is>
      </c>
      <c r="B4570" s="1" t="n">
        <v>44865</v>
      </c>
      <c r="C4570" s="1" t="n">
        <v>45211</v>
      </c>
      <c r="D4570" t="inlineStr">
        <is>
          <t>ÖSTERGÖTLANDS LÄN</t>
        </is>
      </c>
      <c r="E4570" t="inlineStr">
        <is>
          <t>MOTALA</t>
        </is>
      </c>
      <c r="G4570" t="n">
        <v>0.6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s="2" t="inlineStr"/>
    </row>
    <row r="4571" ht="15" customHeight="1">
      <c r="A4571" t="inlineStr">
        <is>
          <t>A 49922-2022</t>
        </is>
      </c>
      <c r="B4571" s="1" t="n">
        <v>44865</v>
      </c>
      <c r="C4571" s="1" t="n">
        <v>45211</v>
      </c>
      <c r="D4571" t="inlineStr">
        <is>
          <t>ÖSTERGÖTLANDS LÄN</t>
        </is>
      </c>
      <c r="E4571" t="inlineStr">
        <is>
          <t>NORRKÖPING</t>
        </is>
      </c>
      <c r="F4571" t="inlineStr">
        <is>
          <t>Holmen skog AB</t>
        </is>
      </c>
      <c r="G4571" t="n">
        <v>6.7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s="2" t="inlineStr"/>
    </row>
    <row r="4572" ht="15" customHeight="1">
      <c r="A4572" t="inlineStr">
        <is>
          <t>A 49934-2022</t>
        </is>
      </c>
      <c r="B4572" s="1" t="n">
        <v>44865</v>
      </c>
      <c r="C4572" s="1" t="n">
        <v>45211</v>
      </c>
      <c r="D4572" t="inlineStr">
        <is>
          <t>ÖSTERGÖTLANDS LÄN</t>
        </is>
      </c>
      <c r="E4572" t="inlineStr">
        <is>
          <t>KINDA</t>
        </is>
      </c>
      <c r="F4572" t="inlineStr">
        <is>
          <t>Övriga Aktiebolag</t>
        </is>
      </c>
      <c r="G4572" t="n">
        <v>1.1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s="2" t="inlineStr"/>
    </row>
    <row r="4573" ht="15" customHeight="1">
      <c r="A4573" t="inlineStr">
        <is>
          <t>A 50342-2022</t>
        </is>
      </c>
      <c r="B4573" s="1" t="n">
        <v>44865</v>
      </c>
      <c r="C4573" s="1" t="n">
        <v>45211</v>
      </c>
      <c r="D4573" t="inlineStr">
        <is>
          <t>ÖSTERGÖTLANDS LÄN</t>
        </is>
      </c>
      <c r="E4573" t="inlineStr">
        <is>
          <t>FINSPÅNG</t>
        </is>
      </c>
      <c r="G4573" t="n">
        <v>2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s="2" t="inlineStr"/>
    </row>
    <row r="4574" ht="15" customHeight="1">
      <c r="A4574" t="inlineStr">
        <is>
          <t>A 49979-2022</t>
        </is>
      </c>
      <c r="B4574" s="1" t="n">
        <v>44865</v>
      </c>
      <c r="C4574" s="1" t="n">
        <v>45211</v>
      </c>
      <c r="D4574" t="inlineStr">
        <is>
          <t>ÖSTERGÖTLANDS LÄN</t>
        </is>
      </c>
      <c r="E4574" t="inlineStr">
        <is>
          <t>LINKÖPING</t>
        </is>
      </c>
      <c r="F4574" t="inlineStr">
        <is>
          <t>Övriga Aktiebolag</t>
        </is>
      </c>
      <c r="G4574" t="n">
        <v>11.4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s="2" t="inlineStr"/>
    </row>
    <row r="4575" ht="15" customHeight="1">
      <c r="A4575" t="inlineStr">
        <is>
          <t>A 50189-2022</t>
        </is>
      </c>
      <c r="B4575" s="1" t="n">
        <v>44865</v>
      </c>
      <c r="C4575" s="1" t="n">
        <v>45211</v>
      </c>
      <c r="D4575" t="inlineStr">
        <is>
          <t>ÖSTERGÖTLANDS LÄN</t>
        </is>
      </c>
      <c r="E4575" t="inlineStr">
        <is>
          <t>FINSPÅNG</t>
        </is>
      </c>
      <c r="F4575" t="inlineStr">
        <is>
          <t>Holmen skog AB</t>
        </is>
      </c>
      <c r="G4575" t="n">
        <v>6.5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s="2" t="inlineStr"/>
    </row>
    <row r="4576" ht="15" customHeight="1">
      <c r="A4576" t="inlineStr">
        <is>
          <t>A 50212-2022</t>
        </is>
      </c>
      <c r="B4576" s="1" t="n">
        <v>44865</v>
      </c>
      <c r="C4576" s="1" t="n">
        <v>45211</v>
      </c>
      <c r="D4576" t="inlineStr">
        <is>
          <t>ÖSTERGÖTLANDS LÄN</t>
        </is>
      </c>
      <c r="E4576" t="inlineStr">
        <is>
          <t>NORRKÖPING</t>
        </is>
      </c>
      <c r="G4576" t="n">
        <v>0.6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s="2" t="inlineStr"/>
    </row>
    <row r="4577" ht="15" customHeight="1">
      <c r="A4577" t="inlineStr">
        <is>
          <t>A 50228-2022</t>
        </is>
      </c>
      <c r="B4577" s="1" t="n">
        <v>44865</v>
      </c>
      <c r="C4577" s="1" t="n">
        <v>45211</v>
      </c>
      <c r="D4577" t="inlineStr">
        <is>
          <t>ÖSTERGÖTLANDS LÄN</t>
        </is>
      </c>
      <c r="E4577" t="inlineStr">
        <is>
          <t>SÖDERKÖPING</t>
        </is>
      </c>
      <c r="G4577" t="n">
        <v>1.7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s="2" t="inlineStr"/>
    </row>
    <row r="4578" ht="15" customHeight="1">
      <c r="A4578" t="inlineStr">
        <is>
          <t>A 51191-2022</t>
        </is>
      </c>
      <c r="B4578" s="1" t="n">
        <v>44865</v>
      </c>
      <c r="C4578" s="1" t="n">
        <v>45211</v>
      </c>
      <c r="D4578" t="inlineStr">
        <is>
          <t>ÖSTERGÖTLANDS LÄN</t>
        </is>
      </c>
      <c r="E4578" t="inlineStr">
        <is>
          <t>LINKÖPING</t>
        </is>
      </c>
      <c r="G4578" t="n">
        <v>2.2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s="2" t="inlineStr"/>
    </row>
    <row r="4579" ht="15" customHeight="1">
      <c r="A4579" t="inlineStr">
        <is>
          <t>A 50596-2022</t>
        </is>
      </c>
      <c r="B4579" s="1" t="n">
        <v>44866</v>
      </c>
      <c r="C4579" s="1" t="n">
        <v>45211</v>
      </c>
      <c r="D4579" t="inlineStr">
        <is>
          <t>ÖSTERGÖTLANDS LÄN</t>
        </is>
      </c>
      <c r="E4579" t="inlineStr">
        <is>
          <t>YDRE</t>
        </is>
      </c>
      <c r="F4579" t="inlineStr">
        <is>
          <t>Sveaskog</t>
        </is>
      </c>
      <c r="G4579" t="n">
        <v>3.2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s="2" t="inlineStr"/>
    </row>
    <row r="4580" ht="15" customHeight="1">
      <c r="A4580" t="inlineStr">
        <is>
          <t>A 50542-2022</t>
        </is>
      </c>
      <c r="B4580" s="1" t="n">
        <v>44866</v>
      </c>
      <c r="C4580" s="1" t="n">
        <v>45211</v>
      </c>
      <c r="D4580" t="inlineStr">
        <is>
          <t>ÖSTERGÖTLANDS LÄN</t>
        </is>
      </c>
      <c r="E4580" t="inlineStr">
        <is>
          <t>FINSPÅNG</t>
        </is>
      </c>
      <c r="G4580" t="n">
        <v>3.8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s="2" t="inlineStr"/>
    </row>
    <row r="4581" ht="15" customHeight="1">
      <c r="A4581" t="inlineStr">
        <is>
          <t>A 50455-2022</t>
        </is>
      </c>
      <c r="B4581" s="1" t="n">
        <v>44866</v>
      </c>
      <c r="C4581" s="1" t="n">
        <v>45211</v>
      </c>
      <c r="D4581" t="inlineStr">
        <is>
          <t>ÖSTERGÖTLANDS LÄN</t>
        </is>
      </c>
      <c r="E4581" t="inlineStr">
        <is>
          <t>BOXHOLM</t>
        </is>
      </c>
      <c r="F4581" t="inlineStr">
        <is>
          <t>Övriga Aktiebolag</t>
        </is>
      </c>
      <c r="G4581" t="n">
        <v>0.5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s="2" t="inlineStr"/>
    </row>
    <row r="4582" ht="15" customHeight="1">
      <c r="A4582" t="inlineStr">
        <is>
          <t>A 50960-2022</t>
        </is>
      </c>
      <c r="B4582" s="1" t="n">
        <v>44867</v>
      </c>
      <c r="C4582" s="1" t="n">
        <v>45211</v>
      </c>
      <c r="D4582" t="inlineStr">
        <is>
          <t>ÖSTERGÖTLANDS LÄN</t>
        </is>
      </c>
      <c r="E4582" t="inlineStr">
        <is>
          <t>NORRKÖPING</t>
        </is>
      </c>
      <c r="F4582" t="inlineStr">
        <is>
          <t>Allmännings- och besparingsskogar</t>
        </is>
      </c>
      <c r="G4582" t="n">
        <v>10.3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s="2" t="inlineStr"/>
    </row>
    <row r="4583" ht="15" customHeight="1">
      <c r="A4583" t="inlineStr">
        <is>
          <t>A 51047-2022</t>
        </is>
      </c>
      <c r="B4583" s="1" t="n">
        <v>44868</v>
      </c>
      <c r="C4583" s="1" t="n">
        <v>45211</v>
      </c>
      <c r="D4583" t="inlineStr">
        <is>
          <t>ÖSTERGÖTLANDS LÄN</t>
        </is>
      </c>
      <c r="E4583" t="inlineStr">
        <is>
          <t>KINDA</t>
        </is>
      </c>
      <c r="G4583" t="n">
        <v>0.9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s="2" t="inlineStr"/>
    </row>
    <row r="4584" ht="15" customHeight="1">
      <c r="A4584" t="inlineStr">
        <is>
          <t>A 51163-2022</t>
        </is>
      </c>
      <c r="B4584" s="1" t="n">
        <v>44868</v>
      </c>
      <c r="C4584" s="1" t="n">
        <v>45211</v>
      </c>
      <c r="D4584" t="inlineStr">
        <is>
          <t>ÖSTERGÖTLANDS LÄN</t>
        </is>
      </c>
      <c r="E4584" t="inlineStr">
        <is>
          <t>YDRE</t>
        </is>
      </c>
      <c r="F4584" t="inlineStr">
        <is>
          <t>Övriga Aktiebolag</t>
        </is>
      </c>
      <c r="G4584" t="n">
        <v>5.1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s="2" t="inlineStr"/>
    </row>
    <row r="4585" ht="15" customHeight="1">
      <c r="A4585" t="inlineStr">
        <is>
          <t>A 51294-2022</t>
        </is>
      </c>
      <c r="B4585" s="1" t="n">
        <v>44868</v>
      </c>
      <c r="C4585" s="1" t="n">
        <v>45211</v>
      </c>
      <c r="D4585" t="inlineStr">
        <is>
          <t>ÖSTERGÖTLANDS LÄN</t>
        </is>
      </c>
      <c r="E4585" t="inlineStr">
        <is>
          <t>KINDA</t>
        </is>
      </c>
      <c r="G4585" t="n">
        <v>1.8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s="2" t="inlineStr"/>
    </row>
    <row r="4586" ht="15" customHeight="1">
      <c r="A4586" t="inlineStr">
        <is>
          <t>A 51610-2022</t>
        </is>
      </c>
      <c r="B4586" s="1" t="n">
        <v>44871</v>
      </c>
      <c r="C4586" s="1" t="n">
        <v>45211</v>
      </c>
      <c r="D4586" t="inlineStr">
        <is>
          <t>ÖSTERGÖTLANDS LÄN</t>
        </is>
      </c>
      <c r="E4586" t="inlineStr">
        <is>
          <t>FINSPÅNG</t>
        </is>
      </c>
      <c r="G4586" t="n">
        <v>7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s="2" t="inlineStr"/>
    </row>
    <row r="4587" ht="15" customHeight="1">
      <c r="A4587" t="inlineStr">
        <is>
          <t>A 51633-2022</t>
        </is>
      </c>
      <c r="B4587" s="1" t="n">
        <v>44872</v>
      </c>
      <c r="C4587" s="1" t="n">
        <v>45211</v>
      </c>
      <c r="D4587" t="inlineStr">
        <is>
          <t>ÖSTERGÖTLANDS LÄN</t>
        </is>
      </c>
      <c r="E4587" t="inlineStr">
        <is>
          <t>ÅTVIDABERG</t>
        </is>
      </c>
      <c r="F4587" t="inlineStr">
        <is>
          <t>Holmen skog AB</t>
        </is>
      </c>
      <c r="G4587" t="n">
        <v>1.3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s="2" t="inlineStr"/>
    </row>
    <row r="4588" ht="15" customHeight="1">
      <c r="A4588" t="inlineStr">
        <is>
          <t>A 51694-2022</t>
        </is>
      </c>
      <c r="B4588" s="1" t="n">
        <v>44872</v>
      </c>
      <c r="C4588" s="1" t="n">
        <v>45211</v>
      </c>
      <c r="D4588" t="inlineStr">
        <is>
          <t>ÖSTERGÖTLANDS LÄN</t>
        </is>
      </c>
      <c r="E4588" t="inlineStr">
        <is>
          <t>YDRE</t>
        </is>
      </c>
      <c r="G4588" t="n">
        <v>5.4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s="2" t="inlineStr"/>
    </row>
    <row r="4589" ht="15" customHeight="1">
      <c r="A4589" t="inlineStr">
        <is>
          <t>A 51619-2022</t>
        </is>
      </c>
      <c r="B4589" s="1" t="n">
        <v>44872</v>
      </c>
      <c r="C4589" s="1" t="n">
        <v>45211</v>
      </c>
      <c r="D4589" t="inlineStr">
        <is>
          <t>ÖSTERGÖTLANDS LÄN</t>
        </is>
      </c>
      <c r="E4589" t="inlineStr">
        <is>
          <t>YDRE</t>
        </is>
      </c>
      <c r="F4589" t="inlineStr">
        <is>
          <t>Övriga Aktiebolag</t>
        </is>
      </c>
      <c r="G4589" t="n">
        <v>10.8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s="2" t="inlineStr"/>
    </row>
    <row r="4590" ht="15" customHeight="1">
      <c r="A4590" t="inlineStr">
        <is>
          <t>A 52047-2022</t>
        </is>
      </c>
      <c r="B4590" s="1" t="n">
        <v>44873</v>
      </c>
      <c r="C4590" s="1" t="n">
        <v>45211</v>
      </c>
      <c r="D4590" t="inlineStr">
        <is>
          <t>ÖSTERGÖTLANDS LÄN</t>
        </is>
      </c>
      <c r="E4590" t="inlineStr">
        <is>
          <t>KINDA</t>
        </is>
      </c>
      <c r="G4590" t="n">
        <v>3.7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s="2" t="inlineStr"/>
    </row>
    <row r="4591" ht="15" customHeight="1">
      <c r="A4591" t="inlineStr">
        <is>
          <t>A 52193-2022</t>
        </is>
      </c>
      <c r="B4591" s="1" t="n">
        <v>44873</v>
      </c>
      <c r="C4591" s="1" t="n">
        <v>45211</v>
      </c>
      <c r="D4591" t="inlineStr">
        <is>
          <t>ÖSTERGÖTLANDS LÄN</t>
        </is>
      </c>
      <c r="E4591" t="inlineStr">
        <is>
          <t>BOXHOLM</t>
        </is>
      </c>
      <c r="F4591" t="inlineStr">
        <is>
          <t>Övriga Aktiebolag</t>
        </is>
      </c>
      <c r="G4591" t="n">
        <v>5.3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s="2" t="inlineStr"/>
    </row>
    <row r="4592" ht="15" customHeight="1">
      <c r="A4592" t="inlineStr">
        <is>
          <t>A 52125-2022</t>
        </is>
      </c>
      <c r="B4592" s="1" t="n">
        <v>44873</v>
      </c>
      <c r="C4592" s="1" t="n">
        <v>45211</v>
      </c>
      <c r="D4592" t="inlineStr">
        <is>
          <t>ÖSTERGÖTLANDS LÄN</t>
        </is>
      </c>
      <c r="E4592" t="inlineStr">
        <is>
          <t>LINKÖPING</t>
        </is>
      </c>
      <c r="F4592" t="inlineStr">
        <is>
          <t>Övriga Aktiebolag</t>
        </is>
      </c>
      <c r="G4592" t="n">
        <v>0.7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s="2" t="inlineStr"/>
    </row>
    <row r="4593" ht="15" customHeight="1">
      <c r="A4593" t="inlineStr">
        <is>
          <t>A 52195-2022</t>
        </is>
      </c>
      <c r="B4593" s="1" t="n">
        <v>44873</v>
      </c>
      <c r="C4593" s="1" t="n">
        <v>45211</v>
      </c>
      <c r="D4593" t="inlineStr">
        <is>
          <t>ÖSTERGÖTLANDS LÄN</t>
        </is>
      </c>
      <c r="E4593" t="inlineStr">
        <is>
          <t>BOXHOLM</t>
        </is>
      </c>
      <c r="F4593" t="inlineStr">
        <is>
          <t>Övriga Aktiebolag</t>
        </is>
      </c>
      <c r="G4593" t="n">
        <v>3.5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s="2" t="inlineStr"/>
    </row>
    <row r="4594" ht="15" customHeight="1">
      <c r="A4594" t="inlineStr">
        <is>
          <t>A 52675-2022</t>
        </is>
      </c>
      <c r="B4594" s="1" t="n">
        <v>44874</v>
      </c>
      <c r="C4594" s="1" t="n">
        <v>45211</v>
      </c>
      <c r="D4594" t="inlineStr">
        <is>
          <t>ÖSTERGÖTLANDS LÄN</t>
        </is>
      </c>
      <c r="E4594" t="inlineStr">
        <is>
          <t>FINSPÅNG</t>
        </is>
      </c>
      <c r="G4594" t="n">
        <v>5.6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s="2" t="inlineStr"/>
    </row>
    <row r="4595" ht="15" customHeight="1">
      <c r="A4595" t="inlineStr">
        <is>
          <t>A 53189-2022</t>
        </is>
      </c>
      <c r="B4595" s="1" t="n">
        <v>44874</v>
      </c>
      <c r="C4595" s="1" t="n">
        <v>45211</v>
      </c>
      <c r="D4595" t="inlineStr">
        <is>
          <t>ÖSTERGÖTLANDS LÄN</t>
        </is>
      </c>
      <c r="E4595" t="inlineStr">
        <is>
          <t>ÅTVIDABERG</t>
        </is>
      </c>
      <c r="F4595" t="inlineStr">
        <is>
          <t>Övriga Aktiebolag</t>
        </is>
      </c>
      <c r="G4595" t="n">
        <v>9.6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s="2" t="inlineStr"/>
    </row>
    <row r="4596" ht="15" customHeight="1">
      <c r="A4596" t="inlineStr">
        <is>
          <t>A 53534-2022</t>
        </is>
      </c>
      <c r="B4596" s="1" t="n">
        <v>44874</v>
      </c>
      <c r="C4596" s="1" t="n">
        <v>45211</v>
      </c>
      <c r="D4596" t="inlineStr">
        <is>
          <t>ÖSTERGÖTLANDS LÄN</t>
        </is>
      </c>
      <c r="E4596" t="inlineStr">
        <is>
          <t>YDRE</t>
        </is>
      </c>
      <c r="G4596" t="n">
        <v>2.6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s="2" t="inlineStr"/>
    </row>
    <row r="4597" ht="15" customHeight="1">
      <c r="A4597" t="inlineStr">
        <is>
          <t>A 53168-2022</t>
        </is>
      </c>
      <c r="B4597" s="1" t="n">
        <v>44874</v>
      </c>
      <c r="C4597" s="1" t="n">
        <v>45211</v>
      </c>
      <c r="D4597" t="inlineStr">
        <is>
          <t>ÖSTERGÖTLANDS LÄN</t>
        </is>
      </c>
      <c r="E4597" t="inlineStr">
        <is>
          <t>ÅTVIDABERG</t>
        </is>
      </c>
      <c r="F4597" t="inlineStr">
        <is>
          <t>Övriga Aktiebolag</t>
        </is>
      </c>
      <c r="G4597" t="n">
        <v>2.1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s="2" t="inlineStr"/>
    </row>
    <row r="4598" ht="15" customHeight="1">
      <c r="A4598" t="inlineStr">
        <is>
          <t>A 53196-2022</t>
        </is>
      </c>
      <c r="B4598" s="1" t="n">
        <v>44874</v>
      </c>
      <c r="C4598" s="1" t="n">
        <v>45211</v>
      </c>
      <c r="D4598" t="inlineStr">
        <is>
          <t>ÖSTERGÖTLANDS LÄN</t>
        </is>
      </c>
      <c r="E4598" t="inlineStr">
        <is>
          <t>ÅTVIDABERG</t>
        </is>
      </c>
      <c r="F4598" t="inlineStr">
        <is>
          <t>Övriga Aktiebolag</t>
        </is>
      </c>
      <c r="G4598" t="n">
        <v>3.7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s="2" t="inlineStr"/>
    </row>
    <row r="4599" ht="15" customHeight="1">
      <c r="A4599" t="inlineStr">
        <is>
          <t>A 53193-2022</t>
        </is>
      </c>
      <c r="B4599" s="1" t="n">
        <v>44874</v>
      </c>
      <c r="C4599" s="1" t="n">
        <v>45211</v>
      </c>
      <c r="D4599" t="inlineStr">
        <is>
          <t>ÖSTERGÖTLANDS LÄN</t>
        </is>
      </c>
      <c r="E4599" t="inlineStr">
        <is>
          <t>ÅTVIDABERG</t>
        </is>
      </c>
      <c r="F4599" t="inlineStr">
        <is>
          <t>Övriga Aktiebolag</t>
        </is>
      </c>
      <c r="G4599" t="n">
        <v>18.8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s="2" t="inlineStr"/>
    </row>
    <row r="4600" ht="15" customHeight="1">
      <c r="A4600" t="inlineStr">
        <is>
          <t>A 53451-2022</t>
        </is>
      </c>
      <c r="B4600" s="1" t="n">
        <v>44874</v>
      </c>
      <c r="C4600" s="1" t="n">
        <v>45211</v>
      </c>
      <c r="D4600" t="inlineStr">
        <is>
          <t>ÖSTERGÖTLANDS LÄN</t>
        </is>
      </c>
      <c r="E4600" t="inlineStr">
        <is>
          <t>YDRE</t>
        </is>
      </c>
      <c r="G4600" t="n">
        <v>2.2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s="2" t="inlineStr"/>
    </row>
    <row r="4601" ht="15" customHeight="1">
      <c r="A4601" t="inlineStr">
        <is>
          <t>A 53493-2022</t>
        </is>
      </c>
      <c r="B4601" s="1" t="n">
        <v>44874</v>
      </c>
      <c r="C4601" s="1" t="n">
        <v>45211</v>
      </c>
      <c r="D4601" t="inlineStr">
        <is>
          <t>ÖSTERGÖTLANDS LÄN</t>
        </is>
      </c>
      <c r="E4601" t="inlineStr">
        <is>
          <t>KINDA</t>
        </is>
      </c>
      <c r="G4601" t="n">
        <v>1.4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s="2" t="inlineStr"/>
    </row>
    <row r="4602" ht="15" customHeight="1">
      <c r="A4602" t="inlineStr">
        <is>
          <t>A 52465-2022</t>
        </is>
      </c>
      <c r="B4602" s="1" t="n">
        <v>44874</v>
      </c>
      <c r="C4602" s="1" t="n">
        <v>45211</v>
      </c>
      <c r="D4602" t="inlineStr">
        <is>
          <t>ÖSTERGÖTLANDS LÄN</t>
        </is>
      </c>
      <c r="E4602" t="inlineStr">
        <is>
          <t>SÖDERKÖPING</t>
        </is>
      </c>
      <c r="G4602" t="n">
        <v>3.8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s="2" t="inlineStr"/>
    </row>
    <row r="4603" ht="15" customHeight="1">
      <c r="A4603" t="inlineStr">
        <is>
          <t>A 52479-2022</t>
        </is>
      </c>
      <c r="B4603" s="1" t="n">
        <v>44874</v>
      </c>
      <c r="C4603" s="1" t="n">
        <v>45211</v>
      </c>
      <c r="D4603" t="inlineStr">
        <is>
          <t>ÖSTERGÖTLANDS LÄN</t>
        </is>
      </c>
      <c r="E4603" t="inlineStr">
        <is>
          <t>SÖDERKÖPING</t>
        </is>
      </c>
      <c r="G4603" t="n">
        <v>4.4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s="2" t="inlineStr"/>
    </row>
    <row r="4604" ht="15" customHeight="1">
      <c r="A4604" t="inlineStr">
        <is>
          <t>A 52523-2022</t>
        </is>
      </c>
      <c r="B4604" s="1" t="n">
        <v>44874</v>
      </c>
      <c r="C4604" s="1" t="n">
        <v>45211</v>
      </c>
      <c r="D4604" t="inlineStr">
        <is>
          <t>ÖSTERGÖTLANDS LÄN</t>
        </is>
      </c>
      <c r="E4604" t="inlineStr">
        <is>
          <t>MOTALA</t>
        </is>
      </c>
      <c r="F4604" t="inlineStr">
        <is>
          <t>Kyrkan</t>
        </is>
      </c>
      <c r="G4604" t="n">
        <v>6.7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s="2" t="inlineStr"/>
    </row>
    <row r="4605" ht="15" customHeight="1">
      <c r="A4605" t="inlineStr">
        <is>
          <t>A 53500-2022</t>
        </is>
      </c>
      <c r="B4605" s="1" t="n">
        <v>44874</v>
      </c>
      <c r="C4605" s="1" t="n">
        <v>45211</v>
      </c>
      <c r="D4605" t="inlineStr">
        <is>
          <t>ÖSTERGÖTLANDS LÄN</t>
        </is>
      </c>
      <c r="E4605" t="inlineStr">
        <is>
          <t>NORRKÖPING</t>
        </is>
      </c>
      <c r="G4605" t="n">
        <v>2.2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s="2" t="inlineStr"/>
    </row>
    <row r="4606" ht="15" customHeight="1">
      <c r="A4606" t="inlineStr">
        <is>
          <t>A 53234-2022</t>
        </is>
      </c>
      <c r="B4606" s="1" t="n">
        <v>44876</v>
      </c>
      <c r="C4606" s="1" t="n">
        <v>45211</v>
      </c>
      <c r="D4606" t="inlineStr">
        <is>
          <t>ÖSTERGÖTLANDS LÄN</t>
        </is>
      </c>
      <c r="E4606" t="inlineStr">
        <is>
          <t>ÅTVIDABERG</t>
        </is>
      </c>
      <c r="G4606" t="n">
        <v>1.4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s="2" t="inlineStr"/>
    </row>
    <row r="4607" ht="15" customHeight="1">
      <c r="A4607" t="inlineStr">
        <is>
          <t>A 53246-2022</t>
        </is>
      </c>
      <c r="B4607" s="1" t="n">
        <v>44876</v>
      </c>
      <c r="C4607" s="1" t="n">
        <v>45211</v>
      </c>
      <c r="D4607" t="inlineStr">
        <is>
          <t>ÖSTERGÖTLANDS LÄN</t>
        </is>
      </c>
      <c r="E4607" t="inlineStr">
        <is>
          <t>FINSPÅNG</t>
        </is>
      </c>
      <c r="G4607" t="n">
        <v>1.4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s="2" t="inlineStr"/>
    </row>
    <row r="4608" ht="15" customHeight="1">
      <c r="A4608" t="inlineStr">
        <is>
          <t>A 53373-2022</t>
        </is>
      </c>
      <c r="B4608" s="1" t="n">
        <v>44879</v>
      </c>
      <c r="C4608" s="1" t="n">
        <v>45211</v>
      </c>
      <c r="D4608" t="inlineStr">
        <is>
          <t>ÖSTERGÖTLANDS LÄN</t>
        </is>
      </c>
      <c r="E4608" t="inlineStr">
        <is>
          <t>YDRE</t>
        </is>
      </c>
      <c r="G4608" t="n">
        <v>0.9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s="2" t="inlineStr"/>
    </row>
    <row r="4609" ht="15" customHeight="1">
      <c r="A4609" t="inlineStr">
        <is>
          <t>A 53524-2022</t>
        </is>
      </c>
      <c r="B4609" s="1" t="n">
        <v>44879</v>
      </c>
      <c r="C4609" s="1" t="n">
        <v>45211</v>
      </c>
      <c r="D4609" t="inlineStr">
        <is>
          <t>ÖSTERGÖTLANDS LÄN</t>
        </is>
      </c>
      <c r="E4609" t="inlineStr">
        <is>
          <t>MJÖLBY</t>
        </is>
      </c>
      <c r="G4609" t="n">
        <v>0.8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s="2" t="inlineStr"/>
    </row>
    <row r="4610" ht="15" customHeight="1">
      <c r="A4610" t="inlineStr">
        <is>
          <t>A 53383-2022</t>
        </is>
      </c>
      <c r="B4610" s="1" t="n">
        <v>44879</v>
      </c>
      <c r="C4610" s="1" t="n">
        <v>45211</v>
      </c>
      <c r="D4610" t="inlineStr">
        <is>
          <t>ÖSTERGÖTLANDS LÄN</t>
        </is>
      </c>
      <c r="E4610" t="inlineStr">
        <is>
          <t>YDRE</t>
        </is>
      </c>
      <c r="G4610" t="n">
        <v>0.7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s="2" t="inlineStr"/>
    </row>
    <row r="4611" ht="15" customHeight="1">
      <c r="A4611" t="inlineStr">
        <is>
          <t>A 53520-2022</t>
        </is>
      </c>
      <c r="B4611" s="1" t="n">
        <v>44879</v>
      </c>
      <c r="C4611" s="1" t="n">
        <v>45211</v>
      </c>
      <c r="D4611" t="inlineStr">
        <is>
          <t>ÖSTERGÖTLANDS LÄN</t>
        </is>
      </c>
      <c r="E4611" t="inlineStr">
        <is>
          <t>MJÖLBY</t>
        </is>
      </c>
      <c r="G4611" t="n">
        <v>1.4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s="2" t="inlineStr"/>
    </row>
    <row r="4612" ht="15" customHeight="1">
      <c r="A4612" t="inlineStr">
        <is>
          <t>A 53842-2022</t>
        </is>
      </c>
      <c r="B4612" s="1" t="n">
        <v>44880</v>
      </c>
      <c r="C4612" s="1" t="n">
        <v>45211</v>
      </c>
      <c r="D4612" t="inlineStr">
        <is>
          <t>ÖSTERGÖTLANDS LÄN</t>
        </is>
      </c>
      <c r="E4612" t="inlineStr">
        <is>
          <t>ÅTVIDABERG</t>
        </is>
      </c>
      <c r="G4612" t="n">
        <v>0.8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s="2" t="inlineStr"/>
    </row>
    <row r="4613" ht="15" customHeight="1">
      <c r="A4613" t="inlineStr">
        <is>
          <t>A 53905-2022</t>
        </is>
      </c>
      <c r="B4613" s="1" t="n">
        <v>44880</v>
      </c>
      <c r="C4613" s="1" t="n">
        <v>45211</v>
      </c>
      <c r="D4613" t="inlineStr">
        <is>
          <t>ÖSTERGÖTLANDS LÄN</t>
        </is>
      </c>
      <c r="E4613" t="inlineStr">
        <is>
          <t>LINKÖPING</t>
        </is>
      </c>
      <c r="G4613" t="n">
        <v>6.4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s="2" t="inlineStr"/>
    </row>
    <row r="4614" ht="15" customHeight="1">
      <c r="A4614" t="inlineStr">
        <is>
          <t>A 53821-2022</t>
        </is>
      </c>
      <c r="B4614" s="1" t="n">
        <v>44880</v>
      </c>
      <c r="C4614" s="1" t="n">
        <v>45211</v>
      </c>
      <c r="D4614" t="inlineStr">
        <is>
          <t>ÖSTERGÖTLANDS LÄN</t>
        </is>
      </c>
      <c r="E4614" t="inlineStr">
        <is>
          <t>FINSPÅNG</t>
        </is>
      </c>
      <c r="F4614" t="inlineStr">
        <is>
          <t>Holmen skog AB</t>
        </is>
      </c>
      <c r="G4614" t="n">
        <v>1.4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s="2" t="inlineStr"/>
    </row>
    <row r="4615" ht="15" customHeight="1">
      <c r="A4615" t="inlineStr">
        <is>
          <t>A 53907-2022</t>
        </is>
      </c>
      <c r="B4615" s="1" t="n">
        <v>44880</v>
      </c>
      <c r="C4615" s="1" t="n">
        <v>45211</v>
      </c>
      <c r="D4615" t="inlineStr">
        <is>
          <t>ÖSTERGÖTLANDS LÄN</t>
        </is>
      </c>
      <c r="E4615" t="inlineStr">
        <is>
          <t>LINKÖPING</t>
        </is>
      </c>
      <c r="G4615" t="n">
        <v>4.6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s="2" t="inlineStr"/>
    </row>
    <row r="4616" ht="15" customHeight="1">
      <c r="A4616" t="inlineStr">
        <is>
          <t>A 53852-2022</t>
        </is>
      </c>
      <c r="B4616" s="1" t="n">
        <v>44880</v>
      </c>
      <c r="C4616" s="1" t="n">
        <v>45211</v>
      </c>
      <c r="D4616" t="inlineStr">
        <is>
          <t>ÖSTERGÖTLANDS LÄN</t>
        </is>
      </c>
      <c r="E4616" t="inlineStr">
        <is>
          <t>NORRKÖPING</t>
        </is>
      </c>
      <c r="G4616" t="n">
        <v>1.8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s="2" t="inlineStr"/>
    </row>
    <row r="4617" ht="15" customHeight="1">
      <c r="A4617" t="inlineStr">
        <is>
          <t>A 55034-2022</t>
        </is>
      </c>
      <c r="B4617" s="1" t="n">
        <v>44881</v>
      </c>
      <c r="C4617" s="1" t="n">
        <v>45211</v>
      </c>
      <c r="D4617" t="inlineStr">
        <is>
          <t>ÖSTERGÖTLANDS LÄN</t>
        </is>
      </c>
      <c r="E4617" t="inlineStr">
        <is>
          <t>NORRKÖPING</t>
        </is>
      </c>
      <c r="G4617" t="n">
        <v>2.9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s="2" t="inlineStr"/>
    </row>
    <row r="4618" ht="15" customHeight="1">
      <c r="A4618" t="inlineStr">
        <is>
          <t>A 54034-2022</t>
        </is>
      </c>
      <c r="B4618" s="1" t="n">
        <v>44881</v>
      </c>
      <c r="C4618" s="1" t="n">
        <v>45211</v>
      </c>
      <c r="D4618" t="inlineStr">
        <is>
          <t>ÖSTERGÖTLANDS LÄN</t>
        </is>
      </c>
      <c r="E4618" t="inlineStr">
        <is>
          <t>LINKÖPING</t>
        </is>
      </c>
      <c r="G4618" t="n">
        <v>0.5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s="2" t="inlineStr"/>
    </row>
    <row r="4619" ht="15" customHeight="1">
      <c r="A4619" t="inlineStr">
        <is>
          <t>A 55024-2022</t>
        </is>
      </c>
      <c r="B4619" s="1" t="n">
        <v>44881</v>
      </c>
      <c r="C4619" s="1" t="n">
        <v>45211</v>
      </c>
      <c r="D4619" t="inlineStr">
        <is>
          <t>ÖSTERGÖTLANDS LÄN</t>
        </is>
      </c>
      <c r="E4619" t="inlineStr">
        <is>
          <t>FINSPÅNG</t>
        </is>
      </c>
      <c r="F4619" t="inlineStr">
        <is>
          <t>Övriga Aktiebolag</t>
        </is>
      </c>
      <c r="G4619" t="n">
        <v>1.3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s="2" t="inlineStr"/>
    </row>
    <row r="4620" ht="15" customHeight="1">
      <c r="A4620" t="inlineStr">
        <is>
          <t>A 54342-2022</t>
        </is>
      </c>
      <c r="B4620" s="1" t="n">
        <v>44882</v>
      </c>
      <c r="C4620" s="1" t="n">
        <v>45211</v>
      </c>
      <c r="D4620" t="inlineStr">
        <is>
          <t>ÖSTERGÖTLANDS LÄN</t>
        </is>
      </c>
      <c r="E4620" t="inlineStr">
        <is>
          <t>KINDA</t>
        </is>
      </c>
      <c r="G4620" t="n">
        <v>0.2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s="2" t="inlineStr"/>
    </row>
    <row r="4621" ht="15" customHeight="1">
      <c r="A4621" t="inlineStr">
        <is>
          <t>A 54369-2022</t>
        </is>
      </c>
      <c r="B4621" s="1" t="n">
        <v>44882</v>
      </c>
      <c r="C4621" s="1" t="n">
        <v>45211</v>
      </c>
      <c r="D4621" t="inlineStr">
        <is>
          <t>ÖSTERGÖTLANDS LÄN</t>
        </is>
      </c>
      <c r="E4621" t="inlineStr">
        <is>
          <t>BOXHOLM</t>
        </is>
      </c>
      <c r="F4621" t="inlineStr">
        <is>
          <t>Övriga Aktiebolag</t>
        </is>
      </c>
      <c r="G4621" t="n">
        <v>6.1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s="2" t="inlineStr"/>
    </row>
    <row r="4622" ht="15" customHeight="1">
      <c r="A4622" t="inlineStr">
        <is>
          <t>A 54467-2022</t>
        </is>
      </c>
      <c r="B4622" s="1" t="n">
        <v>44882</v>
      </c>
      <c r="C4622" s="1" t="n">
        <v>45211</v>
      </c>
      <c r="D4622" t="inlineStr">
        <is>
          <t>ÖSTERGÖTLANDS LÄN</t>
        </is>
      </c>
      <c r="E4622" t="inlineStr">
        <is>
          <t>LINKÖPING</t>
        </is>
      </c>
      <c r="F4622" t="inlineStr">
        <is>
          <t>Sveaskog</t>
        </is>
      </c>
      <c r="G4622" t="n">
        <v>2.5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s="2" t="inlineStr"/>
    </row>
    <row r="4623" ht="15" customHeight="1">
      <c r="A4623" t="inlineStr">
        <is>
          <t>A 54507-2022</t>
        </is>
      </c>
      <c r="B4623" s="1" t="n">
        <v>44882</v>
      </c>
      <c r="C4623" s="1" t="n">
        <v>45211</v>
      </c>
      <c r="D4623" t="inlineStr">
        <is>
          <t>ÖSTERGÖTLANDS LÄN</t>
        </is>
      </c>
      <c r="E4623" t="inlineStr">
        <is>
          <t>KINDA</t>
        </is>
      </c>
      <c r="G4623" t="n">
        <v>0.1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s="2" t="inlineStr"/>
    </row>
    <row r="4624" ht="15" customHeight="1">
      <c r="A4624" t="inlineStr">
        <is>
          <t>A 55304-2022</t>
        </is>
      </c>
      <c r="B4624" s="1" t="n">
        <v>44882</v>
      </c>
      <c r="C4624" s="1" t="n">
        <v>45211</v>
      </c>
      <c r="D4624" t="inlineStr">
        <is>
          <t>ÖSTERGÖTLANDS LÄN</t>
        </is>
      </c>
      <c r="E4624" t="inlineStr">
        <is>
          <t>VALDEMARSVIK</t>
        </is>
      </c>
      <c r="F4624" t="inlineStr">
        <is>
          <t>Övriga Aktiebolag</t>
        </is>
      </c>
      <c r="G4624" t="n">
        <v>2.8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s="2" t="inlineStr"/>
    </row>
    <row r="4625" ht="15" customHeight="1">
      <c r="A4625" t="inlineStr">
        <is>
          <t>A 54473-2022</t>
        </is>
      </c>
      <c r="B4625" s="1" t="n">
        <v>44882</v>
      </c>
      <c r="C4625" s="1" t="n">
        <v>45211</v>
      </c>
      <c r="D4625" t="inlineStr">
        <is>
          <t>ÖSTERGÖTLANDS LÄN</t>
        </is>
      </c>
      <c r="E4625" t="inlineStr">
        <is>
          <t>LINKÖPING</t>
        </is>
      </c>
      <c r="F4625" t="inlineStr">
        <is>
          <t>Sveaskog</t>
        </is>
      </c>
      <c r="G4625" t="n">
        <v>2.1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s="2" t="inlineStr"/>
    </row>
    <row r="4626" ht="15" customHeight="1">
      <c r="A4626" t="inlineStr">
        <is>
          <t>A 54484-2022</t>
        </is>
      </c>
      <c r="B4626" s="1" t="n">
        <v>44882</v>
      </c>
      <c r="C4626" s="1" t="n">
        <v>45211</v>
      </c>
      <c r="D4626" t="inlineStr">
        <is>
          <t>ÖSTERGÖTLANDS LÄN</t>
        </is>
      </c>
      <c r="E4626" t="inlineStr">
        <is>
          <t>KINDA</t>
        </is>
      </c>
      <c r="G4626" t="n">
        <v>0.3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s="2" t="inlineStr"/>
    </row>
    <row r="4627" ht="15" customHeight="1">
      <c r="A4627" t="inlineStr">
        <is>
          <t>A 54324-2022</t>
        </is>
      </c>
      <c r="B4627" s="1" t="n">
        <v>44882</v>
      </c>
      <c r="C4627" s="1" t="n">
        <v>45211</v>
      </c>
      <c r="D4627" t="inlineStr">
        <is>
          <t>ÖSTERGÖTLANDS LÄN</t>
        </is>
      </c>
      <c r="E4627" t="inlineStr">
        <is>
          <t>SÖDERKÖPING</t>
        </is>
      </c>
      <c r="G4627" t="n">
        <v>1.3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s="2" t="inlineStr"/>
    </row>
    <row r="4628" ht="15" customHeight="1">
      <c r="A4628" t="inlineStr">
        <is>
          <t>A 54465-2022</t>
        </is>
      </c>
      <c r="B4628" s="1" t="n">
        <v>44882</v>
      </c>
      <c r="C4628" s="1" t="n">
        <v>45211</v>
      </c>
      <c r="D4628" t="inlineStr">
        <is>
          <t>ÖSTERGÖTLANDS LÄN</t>
        </is>
      </c>
      <c r="E4628" t="inlineStr">
        <is>
          <t>LINKÖPING</t>
        </is>
      </c>
      <c r="F4628" t="inlineStr">
        <is>
          <t>Sveaskog</t>
        </is>
      </c>
      <c r="G4628" t="n">
        <v>4.5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s="2" t="inlineStr"/>
    </row>
    <row r="4629" ht="15" customHeight="1">
      <c r="A4629" t="inlineStr">
        <is>
          <t>A 54345-2022</t>
        </is>
      </c>
      <c r="B4629" s="1" t="n">
        <v>44882</v>
      </c>
      <c r="C4629" s="1" t="n">
        <v>45211</v>
      </c>
      <c r="D4629" t="inlineStr">
        <is>
          <t>ÖSTERGÖTLANDS LÄN</t>
        </is>
      </c>
      <c r="E4629" t="inlineStr">
        <is>
          <t>KINDA</t>
        </is>
      </c>
      <c r="G4629" t="n">
        <v>0.1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s="2" t="inlineStr"/>
    </row>
    <row r="4630" ht="15" customHeight="1">
      <c r="A4630" t="inlineStr">
        <is>
          <t>A 55406-2022</t>
        </is>
      </c>
      <c r="B4630" s="1" t="n">
        <v>44882</v>
      </c>
      <c r="C4630" s="1" t="n">
        <v>45211</v>
      </c>
      <c r="D4630" t="inlineStr">
        <is>
          <t>ÖSTERGÖTLANDS LÄN</t>
        </is>
      </c>
      <c r="E4630" t="inlineStr">
        <is>
          <t>KINDA</t>
        </is>
      </c>
      <c r="G4630" t="n">
        <v>1.3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s="2" t="inlineStr"/>
    </row>
    <row r="4631" ht="15" customHeight="1">
      <c r="A4631" t="inlineStr">
        <is>
          <t>A 54697-2022</t>
        </is>
      </c>
      <c r="B4631" s="1" t="n">
        <v>44883</v>
      </c>
      <c r="C4631" s="1" t="n">
        <v>45211</v>
      </c>
      <c r="D4631" t="inlineStr">
        <is>
          <t>ÖSTERGÖTLANDS LÄN</t>
        </is>
      </c>
      <c r="E4631" t="inlineStr">
        <is>
          <t>NORRKÖPING</t>
        </is>
      </c>
      <c r="G4631" t="n">
        <v>1.7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s="2" t="inlineStr"/>
    </row>
    <row r="4632" ht="15" customHeight="1">
      <c r="A4632" t="inlineStr">
        <is>
          <t>A 54794-2022</t>
        </is>
      </c>
      <c r="B4632" s="1" t="n">
        <v>44883</v>
      </c>
      <c r="C4632" s="1" t="n">
        <v>45211</v>
      </c>
      <c r="D4632" t="inlineStr">
        <is>
          <t>ÖSTERGÖTLANDS LÄN</t>
        </is>
      </c>
      <c r="E4632" t="inlineStr">
        <is>
          <t>VALDEMARSVIK</t>
        </is>
      </c>
      <c r="G4632" t="n">
        <v>6.5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s="2" t="inlineStr"/>
    </row>
    <row r="4633" ht="15" customHeight="1">
      <c r="A4633" t="inlineStr">
        <is>
          <t>A 54809-2022</t>
        </is>
      </c>
      <c r="B4633" s="1" t="n">
        <v>44883</v>
      </c>
      <c r="C4633" s="1" t="n">
        <v>45211</v>
      </c>
      <c r="D4633" t="inlineStr">
        <is>
          <t>ÖSTERGÖTLANDS LÄN</t>
        </is>
      </c>
      <c r="E4633" t="inlineStr">
        <is>
          <t>VALDEMARSVIK</t>
        </is>
      </c>
      <c r="G4633" t="n">
        <v>3.6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s="2" t="inlineStr"/>
    </row>
    <row r="4634" ht="15" customHeight="1">
      <c r="A4634" t="inlineStr">
        <is>
          <t>A 54810-2022</t>
        </is>
      </c>
      <c r="B4634" s="1" t="n">
        <v>44883</v>
      </c>
      <c r="C4634" s="1" t="n">
        <v>45211</v>
      </c>
      <c r="D4634" t="inlineStr">
        <is>
          <t>ÖSTERGÖTLANDS LÄN</t>
        </is>
      </c>
      <c r="E4634" t="inlineStr">
        <is>
          <t>VALDEMARSVIK</t>
        </is>
      </c>
      <c r="G4634" t="n">
        <v>2.7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s="2" t="inlineStr"/>
    </row>
    <row r="4635" ht="15" customHeight="1">
      <c r="A4635" t="inlineStr">
        <is>
          <t>A 54787-2022</t>
        </is>
      </c>
      <c r="B4635" s="1" t="n">
        <v>44883</v>
      </c>
      <c r="C4635" s="1" t="n">
        <v>45211</v>
      </c>
      <c r="D4635" t="inlineStr">
        <is>
          <t>ÖSTERGÖTLANDS LÄN</t>
        </is>
      </c>
      <c r="E4635" t="inlineStr">
        <is>
          <t>SÖDERKÖPING</t>
        </is>
      </c>
      <c r="G4635" t="n">
        <v>2.8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s="2" t="inlineStr"/>
    </row>
    <row r="4636" ht="15" customHeight="1">
      <c r="A4636" t="inlineStr">
        <is>
          <t>A 54806-2022</t>
        </is>
      </c>
      <c r="B4636" s="1" t="n">
        <v>44883</v>
      </c>
      <c r="C4636" s="1" t="n">
        <v>45211</v>
      </c>
      <c r="D4636" t="inlineStr">
        <is>
          <t>ÖSTERGÖTLANDS LÄN</t>
        </is>
      </c>
      <c r="E4636" t="inlineStr">
        <is>
          <t>VALDEMARSVIK</t>
        </is>
      </c>
      <c r="G4636" t="n">
        <v>1.7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s="2" t="inlineStr"/>
    </row>
    <row r="4637" ht="15" customHeight="1">
      <c r="A4637" t="inlineStr">
        <is>
          <t>A 54812-2022</t>
        </is>
      </c>
      <c r="B4637" s="1" t="n">
        <v>44883</v>
      </c>
      <c r="C4637" s="1" t="n">
        <v>45211</v>
      </c>
      <c r="D4637" t="inlineStr">
        <is>
          <t>ÖSTERGÖTLANDS LÄN</t>
        </is>
      </c>
      <c r="E4637" t="inlineStr">
        <is>
          <t>VALDEMARSVIK</t>
        </is>
      </c>
      <c r="G4637" t="n">
        <v>0.4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s="2" t="inlineStr"/>
    </row>
    <row r="4638" ht="15" customHeight="1">
      <c r="A4638" t="inlineStr">
        <is>
          <t>A 54854-2022</t>
        </is>
      </c>
      <c r="B4638" s="1" t="n">
        <v>44884</v>
      </c>
      <c r="C4638" s="1" t="n">
        <v>45211</v>
      </c>
      <c r="D4638" t="inlineStr">
        <is>
          <t>ÖSTERGÖTLANDS LÄN</t>
        </is>
      </c>
      <c r="E4638" t="inlineStr">
        <is>
          <t>LINKÖPING</t>
        </is>
      </c>
      <c r="G4638" t="n">
        <v>1.8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s="2" t="inlineStr"/>
    </row>
    <row r="4639" ht="15" customHeight="1">
      <c r="A4639" t="inlineStr">
        <is>
          <t>A 54953-2022</t>
        </is>
      </c>
      <c r="B4639" s="1" t="n">
        <v>44886</v>
      </c>
      <c r="C4639" s="1" t="n">
        <v>45211</v>
      </c>
      <c r="D4639" t="inlineStr">
        <is>
          <t>ÖSTERGÖTLANDS LÄN</t>
        </is>
      </c>
      <c r="E4639" t="inlineStr">
        <is>
          <t>KINDA</t>
        </is>
      </c>
      <c r="G4639" t="n">
        <v>3.7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s="2" t="inlineStr"/>
    </row>
    <row r="4640" ht="15" customHeight="1">
      <c r="A4640" t="inlineStr">
        <is>
          <t>A 54872-2022</t>
        </is>
      </c>
      <c r="B4640" s="1" t="n">
        <v>44886</v>
      </c>
      <c r="C4640" s="1" t="n">
        <v>45211</v>
      </c>
      <c r="D4640" t="inlineStr">
        <is>
          <t>ÖSTERGÖTLANDS LÄN</t>
        </is>
      </c>
      <c r="E4640" t="inlineStr">
        <is>
          <t>KINDA</t>
        </is>
      </c>
      <c r="G4640" t="n">
        <v>1.1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s="2" t="inlineStr"/>
    </row>
    <row r="4641" ht="15" customHeight="1">
      <c r="A4641" t="inlineStr">
        <is>
          <t>A 54909-2022</t>
        </is>
      </c>
      <c r="B4641" s="1" t="n">
        <v>44886</v>
      </c>
      <c r="C4641" s="1" t="n">
        <v>45211</v>
      </c>
      <c r="D4641" t="inlineStr">
        <is>
          <t>ÖSTERGÖTLANDS LÄN</t>
        </is>
      </c>
      <c r="E4641" t="inlineStr">
        <is>
          <t>KINDA</t>
        </is>
      </c>
      <c r="G4641" t="n">
        <v>1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s="2" t="inlineStr"/>
    </row>
    <row r="4642" ht="15" customHeight="1">
      <c r="A4642" t="inlineStr">
        <is>
          <t>A 55183-2022</t>
        </is>
      </c>
      <c r="B4642" s="1" t="n">
        <v>44886</v>
      </c>
      <c r="C4642" s="1" t="n">
        <v>45211</v>
      </c>
      <c r="D4642" t="inlineStr">
        <is>
          <t>ÖSTERGÖTLANDS LÄN</t>
        </is>
      </c>
      <c r="E4642" t="inlineStr">
        <is>
          <t>BOXHOLM</t>
        </is>
      </c>
      <c r="G4642" t="n">
        <v>1.2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s="2" t="inlineStr"/>
    </row>
    <row r="4643" ht="15" customHeight="1">
      <c r="A4643" t="inlineStr">
        <is>
          <t>A 56264-2022</t>
        </is>
      </c>
      <c r="B4643" s="1" t="n">
        <v>44887</v>
      </c>
      <c r="C4643" s="1" t="n">
        <v>45211</v>
      </c>
      <c r="D4643" t="inlineStr">
        <is>
          <t>ÖSTERGÖTLANDS LÄN</t>
        </is>
      </c>
      <c r="E4643" t="inlineStr">
        <is>
          <t>FINSPÅNG</t>
        </is>
      </c>
      <c r="G4643" t="n">
        <v>1.2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s="2" t="inlineStr"/>
    </row>
    <row r="4644" ht="15" customHeight="1">
      <c r="A4644" t="inlineStr">
        <is>
          <t>A 56288-2022</t>
        </is>
      </c>
      <c r="B4644" s="1" t="n">
        <v>44887</v>
      </c>
      <c r="C4644" s="1" t="n">
        <v>45211</v>
      </c>
      <c r="D4644" t="inlineStr">
        <is>
          <t>ÖSTERGÖTLANDS LÄN</t>
        </is>
      </c>
      <c r="E4644" t="inlineStr">
        <is>
          <t>FINSPÅNG</t>
        </is>
      </c>
      <c r="G4644" t="n">
        <v>0.5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s="2" t="inlineStr"/>
    </row>
    <row r="4645" ht="15" customHeight="1">
      <c r="A4645" t="inlineStr">
        <is>
          <t>A 56309-2022</t>
        </is>
      </c>
      <c r="B4645" s="1" t="n">
        <v>44887</v>
      </c>
      <c r="C4645" s="1" t="n">
        <v>45211</v>
      </c>
      <c r="D4645" t="inlineStr">
        <is>
          <t>ÖSTERGÖTLANDS LÄN</t>
        </is>
      </c>
      <c r="E4645" t="inlineStr">
        <is>
          <t>FINSPÅNG</t>
        </is>
      </c>
      <c r="G4645" t="n">
        <v>0.5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s="2" t="inlineStr"/>
    </row>
    <row r="4646" ht="15" customHeight="1">
      <c r="A4646" t="inlineStr">
        <is>
          <t>A 55395-2022</t>
        </is>
      </c>
      <c r="B4646" s="1" t="n">
        <v>44887</v>
      </c>
      <c r="C4646" s="1" t="n">
        <v>45211</v>
      </c>
      <c r="D4646" t="inlineStr">
        <is>
          <t>ÖSTERGÖTLANDS LÄN</t>
        </is>
      </c>
      <c r="E4646" t="inlineStr">
        <is>
          <t>MOTALA</t>
        </is>
      </c>
      <c r="G4646" t="n">
        <v>2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s="2" t="inlineStr"/>
    </row>
    <row r="4647" ht="15" customHeight="1">
      <c r="A4647" t="inlineStr">
        <is>
          <t>A 56246-2022</t>
        </is>
      </c>
      <c r="B4647" s="1" t="n">
        <v>44887</v>
      </c>
      <c r="C4647" s="1" t="n">
        <v>45211</v>
      </c>
      <c r="D4647" t="inlineStr">
        <is>
          <t>ÖSTERGÖTLANDS LÄN</t>
        </is>
      </c>
      <c r="E4647" t="inlineStr">
        <is>
          <t>FINSPÅNG</t>
        </is>
      </c>
      <c r="G4647" t="n">
        <v>0.9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s="2" t="inlineStr"/>
    </row>
    <row r="4648" ht="15" customHeight="1">
      <c r="A4648" t="inlineStr">
        <is>
          <t>A 55702-2022</t>
        </is>
      </c>
      <c r="B4648" s="1" t="n">
        <v>44888</v>
      </c>
      <c r="C4648" s="1" t="n">
        <v>45211</v>
      </c>
      <c r="D4648" t="inlineStr">
        <is>
          <t>ÖSTERGÖTLANDS LÄN</t>
        </is>
      </c>
      <c r="E4648" t="inlineStr">
        <is>
          <t>ÅTVIDABERG</t>
        </is>
      </c>
      <c r="G4648" t="n">
        <v>0.8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s="2" t="inlineStr"/>
    </row>
    <row r="4649" ht="15" customHeight="1">
      <c r="A4649" t="inlineStr">
        <is>
          <t>A 55736-2022</t>
        </is>
      </c>
      <c r="B4649" s="1" t="n">
        <v>44888</v>
      </c>
      <c r="C4649" s="1" t="n">
        <v>45211</v>
      </c>
      <c r="D4649" t="inlineStr">
        <is>
          <t>ÖSTERGÖTLANDS LÄN</t>
        </is>
      </c>
      <c r="E4649" t="inlineStr">
        <is>
          <t>LINKÖPING</t>
        </is>
      </c>
      <c r="G4649" t="n">
        <v>5.5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s="2" t="inlineStr"/>
    </row>
    <row r="4650" ht="15" customHeight="1">
      <c r="A4650" t="inlineStr">
        <is>
          <t>A 55853-2022</t>
        </is>
      </c>
      <c r="B4650" s="1" t="n">
        <v>44888</v>
      </c>
      <c r="C4650" s="1" t="n">
        <v>45211</v>
      </c>
      <c r="D4650" t="inlineStr">
        <is>
          <t>ÖSTERGÖTLANDS LÄN</t>
        </is>
      </c>
      <c r="E4650" t="inlineStr">
        <is>
          <t>SÖDERKÖPING</t>
        </is>
      </c>
      <c r="G4650" t="n">
        <v>1.8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s="2" t="inlineStr"/>
    </row>
    <row r="4651" ht="15" customHeight="1">
      <c r="A4651" t="inlineStr">
        <is>
          <t>A 55632-2022</t>
        </is>
      </c>
      <c r="B4651" s="1" t="n">
        <v>44888</v>
      </c>
      <c r="C4651" s="1" t="n">
        <v>45211</v>
      </c>
      <c r="D4651" t="inlineStr">
        <is>
          <t>ÖSTERGÖTLANDS LÄN</t>
        </is>
      </c>
      <c r="E4651" t="inlineStr">
        <is>
          <t>LINKÖPING</t>
        </is>
      </c>
      <c r="G4651" t="n">
        <v>1.8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s="2" t="inlineStr"/>
    </row>
    <row r="4652" ht="15" customHeight="1">
      <c r="A4652" t="inlineStr">
        <is>
          <t>A 55730-2022</t>
        </is>
      </c>
      <c r="B4652" s="1" t="n">
        <v>44888</v>
      </c>
      <c r="C4652" s="1" t="n">
        <v>45211</v>
      </c>
      <c r="D4652" t="inlineStr">
        <is>
          <t>ÖSTERGÖTLANDS LÄN</t>
        </is>
      </c>
      <c r="E4652" t="inlineStr">
        <is>
          <t>MJÖLBY</t>
        </is>
      </c>
      <c r="G4652" t="n">
        <v>1.1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s="2" t="inlineStr"/>
    </row>
    <row r="4653" ht="15" customHeight="1">
      <c r="A4653" t="inlineStr">
        <is>
          <t>A 55851-2022</t>
        </is>
      </c>
      <c r="B4653" s="1" t="n">
        <v>44888</v>
      </c>
      <c r="C4653" s="1" t="n">
        <v>45211</v>
      </c>
      <c r="D4653" t="inlineStr">
        <is>
          <t>ÖSTERGÖTLANDS LÄN</t>
        </is>
      </c>
      <c r="E4653" t="inlineStr">
        <is>
          <t>SÖDERKÖPING</t>
        </is>
      </c>
      <c r="G4653" t="n">
        <v>2.3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s="2" t="inlineStr"/>
    </row>
    <row r="4654" ht="15" customHeight="1">
      <c r="A4654" t="inlineStr">
        <is>
          <t>A 55949-2022</t>
        </is>
      </c>
      <c r="B4654" s="1" t="n">
        <v>44889</v>
      </c>
      <c r="C4654" s="1" t="n">
        <v>45211</v>
      </c>
      <c r="D4654" t="inlineStr">
        <is>
          <t>ÖSTERGÖTLANDS LÄN</t>
        </is>
      </c>
      <c r="E4654" t="inlineStr">
        <is>
          <t>NORRKÖPING</t>
        </is>
      </c>
      <c r="G4654" t="n">
        <v>8.5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s="2" t="inlineStr"/>
    </row>
    <row r="4655" ht="15" customHeight="1">
      <c r="A4655" t="inlineStr">
        <is>
          <t>A 55954-2022</t>
        </is>
      </c>
      <c r="B4655" s="1" t="n">
        <v>44889</v>
      </c>
      <c r="C4655" s="1" t="n">
        <v>45211</v>
      </c>
      <c r="D4655" t="inlineStr">
        <is>
          <t>ÖSTERGÖTLANDS LÄN</t>
        </is>
      </c>
      <c r="E4655" t="inlineStr">
        <is>
          <t>NORRKÖPING</t>
        </is>
      </c>
      <c r="G4655" t="n">
        <v>1.6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s="2" t="inlineStr"/>
    </row>
    <row r="4656" ht="15" customHeight="1">
      <c r="A4656" t="inlineStr">
        <is>
          <t>A 56058-2022</t>
        </is>
      </c>
      <c r="B4656" s="1" t="n">
        <v>44889</v>
      </c>
      <c r="C4656" s="1" t="n">
        <v>45211</v>
      </c>
      <c r="D4656" t="inlineStr">
        <is>
          <t>ÖSTERGÖTLANDS LÄN</t>
        </is>
      </c>
      <c r="E4656" t="inlineStr">
        <is>
          <t>FINSPÅNG</t>
        </is>
      </c>
      <c r="G4656" t="n">
        <v>2.8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s="2" t="inlineStr"/>
    </row>
    <row r="4657" ht="15" customHeight="1">
      <c r="A4657" t="inlineStr">
        <is>
          <t>A 55951-2022</t>
        </is>
      </c>
      <c r="B4657" s="1" t="n">
        <v>44889</v>
      </c>
      <c r="C4657" s="1" t="n">
        <v>45211</v>
      </c>
      <c r="D4657" t="inlineStr">
        <is>
          <t>ÖSTERGÖTLANDS LÄN</t>
        </is>
      </c>
      <c r="E4657" t="inlineStr">
        <is>
          <t>NORRKÖPING</t>
        </is>
      </c>
      <c r="G4657" t="n">
        <v>4.1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s="2" t="inlineStr"/>
    </row>
    <row r="4658" ht="15" customHeight="1">
      <c r="A4658" t="inlineStr">
        <is>
          <t>A 55953-2022</t>
        </is>
      </c>
      <c r="B4658" s="1" t="n">
        <v>44889</v>
      </c>
      <c r="C4658" s="1" t="n">
        <v>45211</v>
      </c>
      <c r="D4658" t="inlineStr">
        <is>
          <t>ÖSTERGÖTLANDS LÄN</t>
        </is>
      </c>
      <c r="E4658" t="inlineStr">
        <is>
          <t>NORRKÖPING</t>
        </is>
      </c>
      <c r="G4658" t="n">
        <v>3.7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s="2" t="inlineStr"/>
    </row>
    <row r="4659" ht="15" customHeight="1">
      <c r="A4659" t="inlineStr">
        <is>
          <t>A 56057-2022</t>
        </is>
      </c>
      <c r="B4659" s="1" t="n">
        <v>44889</v>
      </c>
      <c r="C4659" s="1" t="n">
        <v>45211</v>
      </c>
      <c r="D4659" t="inlineStr">
        <is>
          <t>ÖSTERGÖTLANDS LÄN</t>
        </is>
      </c>
      <c r="E4659" t="inlineStr">
        <is>
          <t>FINSPÅNG</t>
        </is>
      </c>
      <c r="G4659" t="n">
        <v>1.1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s="2" t="inlineStr"/>
    </row>
    <row r="4660" ht="15" customHeight="1">
      <c r="A4660" t="inlineStr">
        <is>
          <t>A 55941-2022</t>
        </is>
      </c>
      <c r="B4660" s="1" t="n">
        <v>44889</v>
      </c>
      <c r="C4660" s="1" t="n">
        <v>45211</v>
      </c>
      <c r="D4660" t="inlineStr">
        <is>
          <t>ÖSTERGÖTLANDS LÄN</t>
        </is>
      </c>
      <c r="E4660" t="inlineStr">
        <is>
          <t>NORRKÖPING</t>
        </is>
      </c>
      <c r="G4660" t="n">
        <v>3.1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s="2" t="inlineStr"/>
    </row>
    <row r="4661" ht="15" customHeight="1">
      <c r="A4661" t="inlineStr">
        <is>
          <t>A 55964-2022</t>
        </is>
      </c>
      <c r="B4661" s="1" t="n">
        <v>44889</v>
      </c>
      <c r="C4661" s="1" t="n">
        <v>45211</v>
      </c>
      <c r="D4661" t="inlineStr">
        <is>
          <t>ÖSTERGÖTLANDS LÄN</t>
        </is>
      </c>
      <c r="E4661" t="inlineStr">
        <is>
          <t>VALDEMARSVIK</t>
        </is>
      </c>
      <c r="G4661" t="n">
        <v>1.1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s="2" t="inlineStr"/>
    </row>
    <row r="4662" ht="15" customHeight="1">
      <c r="A4662" t="inlineStr">
        <is>
          <t>A 56056-2022</t>
        </is>
      </c>
      <c r="B4662" s="1" t="n">
        <v>44889</v>
      </c>
      <c r="C4662" s="1" t="n">
        <v>45211</v>
      </c>
      <c r="D4662" t="inlineStr">
        <is>
          <t>ÖSTERGÖTLANDS LÄN</t>
        </is>
      </c>
      <c r="E4662" t="inlineStr">
        <is>
          <t>FINSPÅNG</t>
        </is>
      </c>
      <c r="G4662" t="n">
        <v>1.5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s="2" t="inlineStr"/>
    </row>
    <row r="4663" ht="15" customHeight="1">
      <c r="A4663" t="inlineStr">
        <is>
          <t>A 56062-2022</t>
        </is>
      </c>
      <c r="B4663" s="1" t="n">
        <v>44889</v>
      </c>
      <c r="C4663" s="1" t="n">
        <v>45211</v>
      </c>
      <c r="D4663" t="inlineStr">
        <is>
          <t>ÖSTERGÖTLANDS LÄN</t>
        </is>
      </c>
      <c r="E4663" t="inlineStr">
        <is>
          <t>LINKÖPING</t>
        </is>
      </c>
      <c r="F4663" t="inlineStr">
        <is>
          <t>Sveaskog</t>
        </is>
      </c>
      <c r="G4663" t="n">
        <v>1.6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s="2" t="inlineStr"/>
    </row>
    <row r="4664" ht="15" customHeight="1">
      <c r="A4664" t="inlineStr">
        <is>
          <t>A 56213-2022</t>
        </is>
      </c>
      <c r="B4664" s="1" t="n">
        <v>44890</v>
      </c>
      <c r="C4664" s="1" t="n">
        <v>45211</v>
      </c>
      <c r="D4664" t="inlineStr">
        <is>
          <t>ÖSTERGÖTLANDS LÄN</t>
        </is>
      </c>
      <c r="E4664" t="inlineStr">
        <is>
          <t>SÖDERKÖPING</t>
        </is>
      </c>
      <c r="G4664" t="n">
        <v>0.6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s="2" t="inlineStr"/>
    </row>
    <row r="4665" ht="15" customHeight="1">
      <c r="A4665" t="inlineStr">
        <is>
          <t>A 56238-2022</t>
        </is>
      </c>
      <c r="B4665" s="1" t="n">
        <v>44890</v>
      </c>
      <c r="C4665" s="1" t="n">
        <v>45211</v>
      </c>
      <c r="D4665" t="inlineStr">
        <is>
          <t>ÖSTERGÖTLANDS LÄN</t>
        </is>
      </c>
      <c r="E4665" t="inlineStr">
        <is>
          <t>SÖDERKÖPING</t>
        </is>
      </c>
      <c r="G4665" t="n">
        <v>0.7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s="2" t="inlineStr"/>
    </row>
    <row r="4666" ht="15" customHeight="1">
      <c r="A4666" t="inlineStr">
        <is>
          <t>A 56387-2022</t>
        </is>
      </c>
      <c r="B4666" s="1" t="n">
        <v>44890</v>
      </c>
      <c r="C4666" s="1" t="n">
        <v>45211</v>
      </c>
      <c r="D4666" t="inlineStr">
        <is>
          <t>ÖSTERGÖTLANDS LÄN</t>
        </is>
      </c>
      <c r="E4666" t="inlineStr">
        <is>
          <t>FINSPÅNG</t>
        </is>
      </c>
      <c r="G4666" t="n">
        <v>18.5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s="2" t="inlineStr"/>
    </row>
    <row r="4667" ht="15" customHeight="1">
      <c r="A4667" t="inlineStr">
        <is>
          <t>A 56199-2022</t>
        </is>
      </c>
      <c r="B4667" s="1" t="n">
        <v>44890</v>
      </c>
      <c r="C4667" s="1" t="n">
        <v>45211</v>
      </c>
      <c r="D4667" t="inlineStr">
        <is>
          <t>ÖSTERGÖTLANDS LÄN</t>
        </is>
      </c>
      <c r="E4667" t="inlineStr">
        <is>
          <t>FINSPÅNG</t>
        </is>
      </c>
      <c r="G4667" t="n">
        <v>3.2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s="2" t="inlineStr"/>
    </row>
    <row r="4668" ht="15" customHeight="1">
      <c r="A4668" t="inlineStr">
        <is>
          <t>A 56331-2022</t>
        </is>
      </c>
      <c r="B4668" s="1" t="n">
        <v>44890</v>
      </c>
      <c r="C4668" s="1" t="n">
        <v>45211</v>
      </c>
      <c r="D4668" t="inlineStr">
        <is>
          <t>ÖSTERGÖTLANDS LÄN</t>
        </is>
      </c>
      <c r="E4668" t="inlineStr">
        <is>
          <t>NORRKÖPING</t>
        </is>
      </c>
      <c r="F4668" t="inlineStr">
        <is>
          <t>Holmen skog AB</t>
        </is>
      </c>
      <c r="G4668" t="n">
        <v>2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s="2" t="inlineStr"/>
    </row>
    <row r="4669" ht="15" customHeight="1">
      <c r="A4669" t="inlineStr">
        <is>
          <t>A 56335-2022</t>
        </is>
      </c>
      <c r="B4669" s="1" t="n">
        <v>44890</v>
      </c>
      <c r="C4669" s="1" t="n">
        <v>45211</v>
      </c>
      <c r="D4669" t="inlineStr">
        <is>
          <t>ÖSTERGÖTLANDS LÄN</t>
        </is>
      </c>
      <c r="E4669" t="inlineStr">
        <is>
          <t>KINDA</t>
        </is>
      </c>
      <c r="F4669" t="inlineStr">
        <is>
          <t>Kyrkan</t>
        </is>
      </c>
      <c r="G4669" t="n">
        <v>2.8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s="2" t="inlineStr"/>
    </row>
    <row r="4670" ht="15" customHeight="1">
      <c r="A4670" t="inlineStr">
        <is>
          <t>A 56219-2022</t>
        </is>
      </c>
      <c r="B4670" s="1" t="n">
        <v>44890</v>
      </c>
      <c r="C4670" s="1" t="n">
        <v>45211</v>
      </c>
      <c r="D4670" t="inlineStr">
        <is>
          <t>ÖSTERGÖTLANDS LÄN</t>
        </is>
      </c>
      <c r="E4670" t="inlineStr">
        <is>
          <t>SÖDERKÖPING</t>
        </is>
      </c>
      <c r="G4670" t="n">
        <v>0.4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s="2" t="inlineStr"/>
    </row>
    <row r="4671" ht="15" customHeight="1">
      <c r="A4671" t="inlineStr">
        <is>
          <t>A 56383-2022</t>
        </is>
      </c>
      <c r="B4671" s="1" t="n">
        <v>44890</v>
      </c>
      <c r="C4671" s="1" t="n">
        <v>45211</v>
      </c>
      <c r="D4671" t="inlineStr">
        <is>
          <t>ÖSTERGÖTLANDS LÄN</t>
        </is>
      </c>
      <c r="E4671" t="inlineStr">
        <is>
          <t>FINSPÅNG</t>
        </is>
      </c>
      <c r="G4671" t="n">
        <v>5.2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s="2" t="inlineStr"/>
    </row>
    <row r="4672" ht="15" customHeight="1">
      <c r="A4672" t="inlineStr">
        <is>
          <t>A 56425-2022</t>
        </is>
      </c>
      <c r="B4672" s="1" t="n">
        <v>44891</v>
      </c>
      <c r="C4672" s="1" t="n">
        <v>45211</v>
      </c>
      <c r="D4672" t="inlineStr">
        <is>
          <t>ÖSTERGÖTLANDS LÄN</t>
        </is>
      </c>
      <c r="E4672" t="inlineStr">
        <is>
          <t>FINSPÅNG</t>
        </is>
      </c>
      <c r="G4672" t="n">
        <v>0.6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s="2" t="inlineStr"/>
    </row>
    <row r="4673" ht="15" customHeight="1">
      <c r="A4673" t="inlineStr">
        <is>
          <t>A 58344-2022</t>
        </is>
      </c>
      <c r="B4673" s="1" t="n">
        <v>44893</v>
      </c>
      <c r="C4673" s="1" t="n">
        <v>45211</v>
      </c>
      <c r="D4673" t="inlineStr">
        <is>
          <t>ÖSTERGÖTLANDS LÄN</t>
        </is>
      </c>
      <c r="E4673" t="inlineStr">
        <is>
          <t>MOTALA</t>
        </is>
      </c>
      <c r="G4673" t="n">
        <v>0.7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s="2" t="inlineStr"/>
    </row>
    <row r="4674" ht="15" customHeight="1">
      <c r="A4674" t="inlineStr">
        <is>
          <t>A 58341-2022</t>
        </is>
      </c>
      <c r="B4674" s="1" t="n">
        <v>44893</v>
      </c>
      <c r="C4674" s="1" t="n">
        <v>45211</v>
      </c>
      <c r="D4674" t="inlineStr">
        <is>
          <t>ÖSTERGÖTLANDS LÄN</t>
        </is>
      </c>
      <c r="E4674" t="inlineStr">
        <is>
          <t>MOTALA</t>
        </is>
      </c>
      <c r="G4674" t="n">
        <v>0.9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s="2" t="inlineStr"/>
    </row>
    <row r="4675" ht="15" customHeight="1">
      <c r="A4675" t="inlineStr">
        <is>
          <t>A 58262-2022</t>
        </is>
      </c>
      <c r="B4675" s="1" t="n">
        <v>44894</v>
      </c>
      <c r="C4675" s="1" t="n">
        <v>45211</v>
      </c>
      <c r="D4675" t="inlineStr">
        <is>
          <t>ÖSTERGÖTLANDS LÄN</t>
        </is>
      </c>
      <c r="E4675" t="inlineStr">
        <is>
          <t>VALDEMARSVIK</t>
        </is>
      </c>
      <c r="G4675" t="n">
        <v>1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s="2" t="inlineStr"/>
    </row>
    <row r="4676" ht="15" customHeight="1">
      <c r="A4676" t="inlineStr">
        <is>
          <t>A 56917-2022</t>
        </is>
      </c>
      <c r="B4676" s="1" t="n">
        <v>44894</v>
      </c>
      <c r="C4676" s="1" t="n">
        <v>45211</v>
      </c>
      <c r="D4676" t="inlineStr">
        <is>
          <t>ÖSTERGÖTLANDS LÄN</t>
        </is>
      </c>
      <c r="E4676" t="inlineStr">
        <is>
          <t>LINKÖPING</t>
        </is>
      </c>
      <c r="G4676" t="n">
        <v>2.2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s="2" t="inlineStr"/>
    </row>
    <row r="4677" ht="15" customHeight="1">
      <c r="A4677" t="inlineStr">
        <is>
          <t>A 57191-2022</t>
        </is>
      </c>
      <c r="B4677" s="1" t="n">
        <v>44895</v>
      </c>
      <c r="C4677" s="1" t="n">
        <v>45211</v>
      </c>
      <c r="D4677" t="inlineStr">
        <is>
          <t>ÖSTERGÖTLANDS LÄN</t>
        </is>
      </c>
      <c r="E4677" t="inlineStr">
        <is>
          <t>SÖDERKÖPING</t>
        </is>
      </c>
      <c r="G4677" t="n">
        <v>0.8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s="2" t="inlineStr"/>
    </row>
    <row r="4678" ht="15" customHeight="1">
      <c r="A4678" t="inlineStr">
        <is>
          <t>A 57502-2022</t>
        </is>
      </c>
      <c r="B4678" s="1" t="n">
        <v>44896</v>
      </c>
      <c r="C4678" s="1" t="n">
        <v>45211</v>
      </c>
      <c r="D4678" t="inlineStr">
        <is>
          <t>ÖSTERGÖTLANDS LÄN</t>
        </is>
      </c>
      <c r="E4678" t="inlineStr">
        <is>
          <t>NORRKÖPING</t>
        </is>
      </c>
      <c r="F4678" t="inlineStr">
        <is>
          <t>Holmen skog AB</t>
        </is>
      </c>
      <c r="G4678" t="n">
        <v>2.1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s="2" t="inlineStr"/>
    </row>
    <row r="4679" ht="15" customHeight="1">
      <c r="A4679" t="inlineStr">
        <is>
          <t>A 57413-2022</t>
        </is>
      </c>
      <c r="B4679" s="1" t="n">
        <v>44896</v>
      </c>
      <c r="C4679" s="1" t="n">
        <v>45211</v>
      </c>
      <c r="D4679" t="inlineStr">
        <is>
          <t>ÖSTERGÖTLANDS LÄN</t>
        </is>
      </c>
      <c r="E4679" t="inlineStr">
        <is>
          <t>NORRKÖPING</t>
        </is>
      </c>
      <c r="F4679" t="inlineStr">
        <is>
          <t>Holmen skog AB</t>
        </is>
      </c>
      <c r="G4679" t="n">
        <v>2.1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s="2" t="inlineStr"/>
    </row>
    <row r="4680" ht="15" customHeight="1">
      <c r="A4680" t="inlineStr">
        <is>
          <t>A 57493-2022</t>
        </is>
      </c>
      <c r="B4680" s="1" t="n">
        <v>44896</v>
      </c>
      <c r="C4680" s="1" t="n">
        <v>45211</v>
      </c>
      <c r="D4680" t="inlineStr">
        <is>
          <t>ÖSTERGÖTLANDS LÄN</t>
        </is>
      </c>
      <c r="E4680" t="inlineStr">
        <is>
          <t>NORRKÖPING</t>
        </is>
      </c>
      <c r="F4680" t="inlineStr">
        <is>
          <t>Holmen skog AB</t>
        </is>
      </c>
      <c r="G4680" t="n">
        <v>5.2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s="2" t="inlineStr"/>
    </row>
    <row r="4681" ht="15" customHeight="1">
      <c r="A4681" t="inlineStr">
        <is>
          <t>A 57513-2022</t>
        </is>
      </c>
      <c r="B4681" s="1" t="n">
        <v>44896</v>
      </c>
      <c r="C4681" s="1" t="n">
        <v>45211</v>
      </c>
      <c r="D4681" t="inlineStr">
        <is>
          <t>ÖSTERGÖTLANDS LÄN</t>
        </is>
      </c>
      <c r="E4681" t="inlineStr">
        <is>
          <t>VALDEMARSVIK</t>
        </is>
      </c>
      <c r="G4681" t="n">
        <v>5.6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s="2" t="inlineStr"/>
    </row>
    <row r="4682" ht="15" customHeight="1">
      <c r="A4682" t="inlineStr">
        <is>
          <t>A 57680-2022</t>
        </is>
      </c>
      <c r="B4682" s="1" t="n">
        <v>44897</v>
      </c>
      <c r="C4682" s="1" t="n">
        <v>45211</v>
      </c>
      <c r="D4682" t="inlineStr">
        <is>
          <t>ÖSTERGÖTLANDS LÄN</t>
        </is>
      </c>
      <c r="E4682" t="inlineStr">
        <is>
          <t>VALDEMARSVIK</t>
        </is>
      </c>
      <c r="G4682" t="n">
        <v>2.1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s="2" t="inlineStr"/>
    </row>
    <row r="4683" ht="15" customHeight="1">
      <c r="A4683" t="inlineStr">
        <is>
          <t>A 57772-2022</t>
        </is>
      </c>
      <c r="B4683" s="1" t="n">
        <v>44897</v>
      </c>
      <c r="C4683" s="1" t="n">
        <v>45211</v>
      </c>
      <c r="D4683" t="inlineStr">
        <is>
          <t>ÖSTERGÖTLANDS LÄN</t>
        </is>
      </c>
      <c r="E4683" t="inlineStr">
        <is>
          <t>NORRKÖPING</t>
        </is>
      </c>
      <c r="F4683" t="inlineStr">
        <is>
          <t>Holmen skog AB</t>
        </is>
      </c>
      <c r="G4683" t="n">
        <v>1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s="2" t="inlineStr"/>
    </row>
    <row r="4684" ht="15" customHeight="1">
      <c r="A4684" t="inlineStr">
        <is>
          <t>A 57854-2022</t>
        </is>
      </c>
      <c r="B4684" s="1" t="n">
        <v>44898</v>
      </c>
      <c r="C4684" s="1" t="n">
        <v>45211</v>
      </c>
      <c r="D4684" t="inlineStr">
        <is>
          <t>ÖSTERGÖTLANDS LÄN</t>
        </is>
      </c>
      <c r="E4684" t="inlineStr">
        <is>
          <t>FINSPÅNG</t>
        </is>
      </c>
      <c r="G4684" t="n">
        <v>0.2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s="2" t="inlineStr"/>
    </row>
    <row r="4685" ht="15" customHeight="1">
      <c r="A4685" t="inlineStr">
        <is>
          <t>A 57888-2022</t>
        </is>
      </c>
      <c r="B4685" s="1" t="n">
        <v>44900</v>
      </c>
      <c r="C4685" s="1" t="n">
        <v>45211</v>
      </c>
      <c r="D4685" t="inlineStr">
        <is>
          <t>ÖSTERGÖTLANDS LÄN</t>
        </is>
      </c>
      <c r="E4685" t="inlineStr">
        <is>
          <t>SÖDERKÖPING</t>
        </is>
      </c>
      <c r="G4685" t="n">
        <v>1.4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s="2" t="inlineStr"/>
    </row>
    <row r="4686" ht="15" customHeight="1">
      <c r="A4686" t="inlineStr">
        <is>
          <t>A 57979-2022</t>
        </is>
      </c>
      <c r="B4686" s="1" t="n">
        <v>44900</v>
      </c>
      <c r="C4686" s="1" t="n">
        <v>45211</v>
      </c>
      <c r="D4686" t="inlineStr">
        <is>
          <t>ÖSTERGÖTLANDS LÄN</t>
        </is>
      </c>
      <c r="E4686" t="inlineStr">
        <is>
          <t>NORRKÖPING</t>
        </is>
      </c>
      <c r="F4686" t="inlineStr">
        <is>
          <t>Holmen skog AB</t>
        </is>
      </c>
      <c r="G4686" t="n">
        <v>1.3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s="2" t="inlineStr"/>
    </row>
    <row r="4687" ht="15" customHeight="1">
      <c r="A4687" t="inlineStr">
        <is>
          <t>A 58979-2022</t>
        </is>
      </c>
      <c r="B4687" s="1" t="n">
        <v>44903</v>
      </c>
      <c r="C4687" s="1" t="n">
        <v>45211</v>
      </c>
      <c r="D4687" t="inlineStr">
        <is>
          <t>ÖSTERGÖTLANDS LÄN</t>
        </is>
      </c>
      <c r="E4687" t="inlineStr">
        <is>
          <t>VALDEMARSVIK</t>
        </is>
      </c>
      <c r="G4687" t="n">
        <v>0.6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s="2" t="inlineStr"/>
    </row>
    <row r="4688" ht="15" customHeight="1">
      <c r="A4688" t="inlineStr">
        <is>
          <t>A 58800-2022</t>
        </is>
      </c>
      <c r="B4688" s="1" t="n">
        <v>44903</v>
      </c>
      <c r="C4688" s="1" t="n">
        <v>45211</v>
      </c>
      <c r="D4688" t="inlineStr">
        <is>
          <t>ÖSTERGÖTLANDS LÄN</t>
        </is>
      </c>
      <c r="E4688" t="inlineStr">
        <is>
          <t>MJÖLBY</t>
        </is>
      </c>
      <c r="G4688" t="n">
        <v>3.1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s="2" t="inlineStr"/>
    </row>
    <row r="4689" ht="15" customHeight="1">
      <c r="A4689" t="inlineStr">
        <is>
          <t>A 58831-2022</t>
        </is>
      </c>
      <c r="B4689" s="1" t="n">
        <v>44903</v>
      </c>
      <c r="C4689" s="1" t="n">
        <v>45211</v>
      </c>
      <c r="D4689" t="inlineStr">
        <is>
          <t>ÖSTERGÖTLANDS LÄN</t>
        </is>
      </c>
      <c r="E4689" t="inlineStr">
        <is>
          <t>YDRE</t>
        </is>
      </c>
      <c r="G4689" t="n">
        <v>3.7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s="2" t="inlineStr"/>
    </row>
    <row r="4690" ht="15" customHeight="1">
      <c r="A4690" t="inlineStr">
        <is>
          <t>A 58798-2022</t>
        </is>
      </c>
      <c r="B4690" s="1" t="n">
        <v>44903</v>
      </c>
      <c r="C4690" s="1" t="n">
        <v>45211</v>
      </c>
      <c r="D4690" t="inlineStr">
        <is>
          <t>ÖSTERGÖTLANDS LÄN</t>
        </is>
      </c>
      <c r="E4690" t="inlineStr">
        <is>
          <t>MJÖLBY</t>
        </is>
      </c>
      <c r="G4690" t="n">
        <v>4.8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s="2" t="inlineStr"/>
    </row>
    <row r="4691" ht="15" customHeight="1">
      <c r="A4691" t="inlineStr">
        <is>
          <t>A 58925-2022</t>
        </is>
      </c>
      <c r="B4691" s="1" t="n">
        <v>44903</v>
      </c>
      <c r="C4691" s="1" t="n">
        <v>45211</v>
      </c>
      <c r="D4691" t="inlineStr">
        <is>
          <t>ÖSTERGÖTLANDS LÄN</t>
        </is>
      </c>
      <c r="E4691" t="inlineStr">
        <is>
          <t>SÖDERKÖPING</t>
        </is>
      </c>
      <c r="G4691" t="n">
        <v>6.7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s="2" t="inlineStr"/>
    </row>
    <row r="4692" ht="15" customHeight="1">
      <c r="A4692" t="inlineStr">
        <is>
          <t>A 59058-2022</t>
        </is>
      </c>
      <c r="B4692" s="1" t="n">
        <v>44904</v>
      </c>
      <c r="C4692" s="1" t="n">
        <v>45211</v>
      </c>
      <c r="D4692" t="inlineStr">
        <is>
          <t>ÖSTERGÖTLANDS LÄN</t>
        </is>
      </c>
      <c r="E4692" t="inlineStr">
        <is>
          <t>SÖDERKÖPING</t>
        </is>
      </c>
      <c r="G4692" t="n">
        <v>1.5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s="2" t="inlineStr"/>
    </row>
    <row r="4693" ht="15" customHeight="1">
      <c r="A4693" t="inlineStr">
        <is>
          <t>A 59125-2022</t>
        </is>
      </c>
      <c r="B4693" s="1" t="n">
        <v>44904</v>
      </c>
      <c r="C4693" s="1" t="n">
        <v>45211</v>
      </c>
      <c r="D4693" t="inlineStr">
        <is>
          <t>ÖSTERGÖTLANDS LÄN</t>
        </is>
      </c>
      <c r="E4693" t="inlineStr">
        <is>
          <t>BOXHOLM</t>
        </is>
      </c>
      <c r="G4693" t="n">
        <v>0.8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s="2" t="inlineStr"/>
    </row>
    <row r="4694" ht="15" customHeight="1">
      <c r="A4694" t="inlineStr">
        <is>
          <t>A 59234-2022</t>
        </is>
      </c>
      <c r="B4694" s="1" t="n">
        <v>44904</v>
      </c>
      <c r="C4694" s="1" t="n">
        <v>45211</v>
      </c>
      <c r="D4694" t="inlineStr">
        <is>
          <t>ÖSTERGÖTLANDS LÄN</t>
        </is>
      </c>
      <c r="E4694" t="inlineStr">
        <is>
          <t>MJÖLBY</t>
        </is>
      </c>
      <c r="F4694" t="inlineStr">
        <is>
          <t>Övriga Aktiebolag</t>
        </is>
      </c>
      <c r="G4694" t="n">
        <v>2.5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s="2" t="inlineStr"/>
    </row>
    <row r="4695" ht="15" customHeight="1">
      <c r="A4695" t="inlineStr">
        <is>
          <t>A 59061-2022</t>
        </is>
      </c>
      <c r="B4695" s="1" t="n">
        <v>44904</v>
      </c>
      <c r="C4695" s="1" t="n">
        <v>45211</v>
      </c>
      <c r="D4695" t="inlineStr">
        <is>
          <t>ÖSTERGÖTLANDS LÄN</t>
        </is>
      </c>
      <c r="E4695" t="inlineStr">
        <is>
          <t>SÖDERKÖPING</t>
        </is>
      </c>
      <c r="G4695" t="n">
        <v>2.6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s="2" t="inlineStr"/>
    </row>
    <row r="4696" ht="15" customHeight="1">
      <c r="A4696" t="inlineStr">
        <is>
          <t>A 59411-2022</t>
        </is>
      </c>
      <c r="B4696" s="1" t="n">
        <v>44907</v>
      </c>
      <c r="C4696" s="1" t="n">
        <v>45211</v>
      </c>
      <c r="D4696" t="inlineStr">
        <is>
          <t>ÖSTERGÖTLANDS LÄN</t>
        </is>
      </c>
      <c r="E4696" t="inlineStr">
        <is>
          <t>MJÖLBY</t>
        </is>
      </c>
      <c r="F4696" t="inlineStr">
        <is>
          <t>Övriga Aktiebolag</t>
        </is>
      </c>
      <c r="G4696" t="n">
        <v>1.7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s="2" t="inlineStr"/>
    </row>
    <row r="4697" ht="15" customHeight="1">
      <c r="A4697" t="inlineStr">
        <is>
          <t>A 59570-2022</t>
        </is>
      </c>
      <c r="B4697" s="1" t="n">
        <v>44907</v>
      </c>
      <c r="C4697" s="1" t="n">
        <v>45211</v>
      </c>
      <c r="D4697" t="inlineStr">
        <is>
          <t>ÖSTERGÖTLANDS LÄN</t>
        </is>
      </c>
      <c r="E4697" t="inlineStr">
        <is>
          <t>MOTALA</t>
        </is>
      </c>
      <c r="G4697" t="n">
        <v>1.5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s="2" t="inlineStr"/>
    </row>
    <row r="4698" ht="15" customHeight="1">
      <c r="A4698" t="inlineStr">
        <is>
          <t>A 59410-2022</t>
        </is>
      </c>
      <c r="B4698" s="1" t="n">
        <v>44907</v>
      </c>
      <c r="C4698" s="1" t="n">
        <v>45211</v>
      </c>
      <c r="D4698" t="inlineStr">
        <is>
          <t>ÖSTERGÖTLANDS LÄN</t>
        </is>
      </c>
      <c r="E4698" t="inlineStr">
        <is>
          <t>MJÖLBY</t>
        </is>
      </c>
      <c r="F4698" t="inlineStr">
        <is>
          <t>Övriga Aktiebolag</t>
        </is>
      </c>
      <c r="G4698" t="n">
        <v>1.3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s="2" t="inlineStr"/>
    </row>
    <row r="4699" ht="15" customHeight="1">
      <c r="A4699" t="inlineStr">
        <is>
          <t>A 59573-2022</t>
        </is>
      </c>
      <c r="B4699" s="1" t="n">
        <v>44907</v>
      </c>
      <c r="C4699" s="1" t="n">
        <v>45211</v>
      </c>
      <c r="D4699" t="inlineStr">
        <is>
          <t>ÖSTERGÖTLANDS LÄN</t>
        </is>
      </c>
      <c r="E4699" t="inlineStr">
        <is>
          <t>KINDA</t>
        </is>
      </c>
      <c r="G4699" t="n">
        <v>0.8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s="2" t="inlineStr"/>
    </row>
    <row r="4700" ht="15" customHeight="1">
      <c r="A4700" t="inlineStr">
        <is>
          <t>A 59658-2022</t>
        </is>
      </c>
      <c r="B4700" s="1" t="n">
        <v>44908</v>
      </c>
      <c r="C4700" s="1" t="n">
        <v>45211</v>
      </c>
      <c r="D4700" t="inlineStr">
        <is>
          <t>ÖSTERGÖTLANDS LÄN</t>
        </is>
      </c>
      <c r="E4700" t="inlineStr">
        <is>
          <t>BOXHOLM</t>
        </is>
      </c>
      <c r="F4700" t="inlineStr">
        <is>
          <t>Övriga Aktiebolag</t>
        </is>
      </c>
      <c r="G4700" t="n">
        <v>5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s="2" t="inlineStr"/>
    </row>
    <row r="4701" ht="15" customHeight="1">
      <c r="A4701" t="inlineStr">
        <is>
          <t>A 60917-2022</t>
        </is>
      </c>
      <c r="B4701" s="1" t="n">
        <v>44908</v>
      </c>
      <c r="C4701" s="1" t="n">
        <v>45211</v>
      </c>
      <c r="D4701" t="inlineStr">
        <is>
          <t>ÖSTERGÖTLANDS LÄN</t>
        </is>
      </c>
      <c r="E4701" t="inlineStr">
        <is>
          <t>MJÖLBY</t>
        </is>
      </c>
      <c r="G4701" t="n">
        <v>2.8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s="2" t="inlineStr"/>
    </row>
    <row r="4702" ht="15" customHeight="1">
      <c r="A4702" t="inlineStr">
        <is>
          <t>A 59774-2022</t>
        </is>
      </c>
      <c r="B4702" s="1" t="n">
        <v>44908</v>
      </c>
      <c r="C4702" s="1" t="n">
        <v>45211</v>
      </c>
      <c r="D4702" t="inlineStr">
        <is>
          <t>ÖSTERGÖTLANDS LÄN</t>
        </is>
      </c>
      <c r="E4702" t="inlineStr">
        <is>
          <t>BOXHOLM</t>
        </is>
      </c>
      <c r="F4702" t="inlineStr">
        <is>
          <t>Övriga Aktiebolag</t>
        </is>
      </c>
      <c r="G4702" t="n">
        <v>5.8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s="2" t="inlineStr"/>
    </row>
    <row r="4703" ht="15" customHeight="1">
      <c r="A4703" t="inlineStr">
        <is>
          <t>A 59887-2022</t>
        </is>
      </c>
      <c r="B4703" s="1" t="n">
        <v>44908</v>
      </c>
      <c r="C4703" s="1" t="n">
        <v>45211</v>
      </c>
      <c r="D4703" t="inlineStr">
        <is>
          <t>ÖSTERGÖTLANDS LÄN</t>
        </is>
      </c>
      <c r="E4703" t="inlineStr">
        <is>
          <t>NORRKÖPING</t>
        </is>
      </c>
      <c r="G4703" t="n">
        <v>1.6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s="2" t="inlineStr"/>
    </row>
    <row r="4704" ht="15" customHeight="1">
      <c r="A4704" t="inlineStr">
        <is>
          <t>A 59948-2022</t>
        </is>
      </c>
      <c r="B4704" s="1" t="n">
        <v>44909</v>
      </c>
      <c r="C4704" s="1" t="n">
        <v>45211</v>
      </c>
      <c r="D4704" t="inlineStr">
        <is>
          <t>ÖSTERGÖTLANDS LÄN</t>
        </is>
      </c>
      <c r="E4704" t="inlineStr">
        <is>
          <t>LINKÖPING</t>
        </is>
      </c>
      <c r="G4704" t="n">
        <v>6.7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s="2" t="inlineStr"/>
    </row>
    <row r="4705" ht="15" customHeight="1">
      <c r="A4705" t="inlineStr">
        <is>
          <t>A 61433-2022</t>
        </is>
      </c>
      <c r="B4705" s="1" t="n">
        <v>44909</v>
      </c>
      <c r="C4705" s="1" t="n">
        <v>45211</v>
      </c>
      <c r="D4705" t="inlineStr">
        <is>
          <t>ÖSTERGÖTLANDS LÄN</t>
        </is>
      </c>
      <c r="E4705" t="inlineStr">
        <is>
          <t>MJÖLBY</t>
        </is>
      </c>
      <c r="G4705" t="n">
        <v>3.2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s="2" t="inlineStr"/>
    </row>
    <row r="4706" ht="15" customHeight="1">
      <c r="A4706" t="inlineStr">
        <is>
          <t>A 60233-2022</t>
        </is>
      </c>
      <c r="B4706" s="1" t="n">
        <v>44910</v>
      </c>
      <c r="C4706" s="1" t="n">
        <v>45211</v>
      </c>
      <c r="D4706" t="inlineStr">
        <is>
          <t>ÖSTERGÖTLANDS LÄN</t>
        </is>
      </c>
      <c r="E4706" t="inlineStr">
        <is>
          <t>NORRKÖPING</t>
        </is>
      </c>
      <c r="F4706" t="inlineStr">
        <is>
          <t>Holmen skog AB</t>
        </is>
      </c>
      <c r="G4706" t="n">
        <v>0.6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s="2" t="inlineStr"/>
    </row>
    <row r="4707" ht="15" customHeight="1">
      <c r="A4707" t="inlineStr">
        <is>
          <t>A 60596-2022</t>
        </is>
      </c>
      <c r="B4707" s="1" t="n">
        <v>44911</v>
      </c>
      <c r="C4707" s="1" t="n">
        <v>45211</v>
      </c>
      <c r="D4707" t="inlineStr">
        <is>
          <t>ÖSTERGÖTLANDS LÄN</t>
        </is>
      </c>
      <c r="E4707" t="inlineStr">
        <is>
          <t>SÖDERKÖPING</t>
        </is>
      </c>
      <c r="G4707" t="n">
        <v>1.6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s="2" t="inlineStr"/>
    </row>
    <row r="4708" ht="15" customHeight="1">
      <c r="A4708" t="inlineStr">
        <is>
          <t>A 60571-2022</t>
        </is>
      </c>
      <c r="B4708" s="1" t="n">
        <v>44911</v>
      </c>
      <c r="C4708" s="1" t="n">
        <v>45211</v>
      </c>
      <c r="D4708" t="inlineStr">
        <is>
          <t>ÖSTERGÖTLANDS LÄN</t>
        </is>
      </c>
      <c r="E4708" t="inlineStr">
        <is>
          <t>SÖDERKÖPING</t>
        </is>
      </c>
      <c r="G4708" t="n">
        <v>5.6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s="2" t="inlineStr"/>
    </row>
    <row r="4709" ht="15" customHeight="1">
      <c r="A4709" t="inlineStr">
        <is>
          <t>A 60605-2022</t>
        </is>
      </c>
      <c r="B4709" s="1" t="n">
        <v>44911</v>
      </c>
      <c r="C4709" s="1" t="n">
        <v>45211</v>
      </c>
      <c r="D4709" t="inlineStr">
        <is>
          <t>ÖSTERGÖTLANDS LÄN</t>
        </is>
      </c>
      <c r="E4709" t="inlineStr">
        <is>
          <t>SÖDERKÖPING</t>
        </is>
      </c>
      <c r="G4709" t="n">
        <v>0.9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s="2" t="inlineStr"/>
    </row>
    <row r="4710" ht="15" customHeight="1">
      <c r="A4710" t="inlineStr">
        <is>
          <t>A 60603-2022</t>
        </is>
      </c>
      <c r="B4710" s="1" t="n">
        <v>44911</v>
      </c>
      <c r="C4710" s="1" t="n">
        <v>45211</v>
      </c>
      <c r="D4710" t="inlineStr">
        <is>
          <t>ÖSTERGÖTLANDS LÄN</t>
        </is>
      </c>
      <c r="E4710" t="inlineStr">
        <is>
          <t>MOTALA</t>
        </is>
      </c>
      <c r="G4710" t="n">
        <v>1.4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s="2" t="inlineStr"/>
    </row>
    <row r="4711" ht="15" customHeight="1">
      <c r="A4711" t="inlineStr">
        <is>
          <t>A 60610-2022</t>
        </is>
      </c>
      <c r="B4711" s="1" t="n">
        <v>44911</v>
      </c>
      <c r="C4711" s="1" t="n">
        <v>45211</v>
      </c>
      <c r="D4711" t="inlineStr">
        <is>
          <t>ÖSTERGÖTLANDS LÄN</t>
        </is>
      </c>
      <c r="E4711" t="inlineStr">
        <is>
          <t>MOTALA</t>
        </is>
      </c>
      <c r="G4711" t="n">
        <v>0.7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s="2" t="inlineStr"/>
    </row>
    <row r="4712" ht="15" customHeight="1">
      <c r="A4712" t="inlineStr">
        <is>
          <t>A 60640-2022</t>
        </is>
      </c>
      <c r="B4712" s="1" t="n">
        <v>44911</v>
      </c>
      <c r="C4712" s="1" t="n">
        <v>45211</v>
      </c>
      <c r="D4712" t="inlineStr">
        <is>
          <t>ÖSTERGÖTLANDS LÄN</t>
        </is>
      </c>
      <c r="E4712" t="inlineStr">
        <is>
          <t>SÖDERKÖPING</t>
        </is>
      </c>
      <c r="F4712" t="inlineStr">
        <is>
          <t>Allmännings- och besparingsskogar</t>
        </is>
      </c>
      <c r="G4712" t="n">
        <v>10.8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s="2" t="inlineStr"/>
    </row>
    <row r="4713" ht="15" customHeight="1">
      <c r="A4713" t="inlineStr">
        <is>
          <t>A 62192-2022</t>
        </is>
      </c>
      <c r="B4713" s="1" t="n">
        <v>44914</v>
      </c>
      <c r="C4713" s="1" t="n">
        <v>45211</v>
      </c>
      <c r="D4713" t="inlineStr">
        <is>
          <t>ÖSTERGÖTLANDS LÄN</t>
        </is>
      </c>
      <c r="E4713" t="inlineStr">
        <is>
          <t>BOXHOLM</t>
        </is>
      </c>
      <c r="G4713" t="n">
        <v>1.1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s="2" t="inlineStr"/>
    </row>
    <row r="4714" ht="15" customHeight="1">
      <c r="A4714" t="inlineStr">
        <is>
          <t>A 62195-2022</t>
        </is>
      </c>
      <c r="B4714" s="1" t="n">
        <v>44914</v>
      </c>
      <c r="C4714" s="1" t="n">
        <v>45211</v>
      </c>
      <c r="D4714" t="inlineStr">
        <is>
          <t>ÖSTERGÖTLANDS LÄN</t>
        </is>
      </c>
      <c r="E4714" t="inlineStr">
        <is>
          <t>BOXHOLM</t>
        </is>
      </c>
      <c r="G4714" t="n">
        <v>2.7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s="2" t="inlineStr"/>
    </row>
    <row r="4715" ht="15" customHeight="1">
      <c r="A4715" t="inlineStr">
        <is>
          <t>A 60749-2022</t>
        </is>
      </c>
      <c r="B4715" s="1" t="n">
        <v>44914</v>
      </c>
      <c r="C4715" s="1" t="n">
        <v>45211</v>
      </c>
      <c r="D4715" t="inlineStr">
        <is>
          <t>ÖSTERGÖTLANDS LÄN</t>
        </is>
      </c>
      <c r="E4715" t="inlineStr">
        <is>
          <t>FINSPÅNG</t>
        </is>
      </c>
      <c r="G4715" t="n">
        <v>0.7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s="2" t="inlineStr"/>
    </row>
    <row r="4716" ht="15" customHeight="1">
      <c r="A4716" t="inlineStr">
        <is>
          <t>A 60827-2022</t>
        </is>
      </c>
      <c r="B4716" s="1" t="n">
        <v>44914</v>
      </c>
      <c r="C4716" s="1" t="n">
        <v>45211</v>
      </c>
      <c r="D4716" t="inlineStr">
        <is>
          <t>ÖSTERGÖTLANDS LÄN</t>
        </is>
      </c>
      <c r="E4716" t="inlineStr">
        <is>
          <t>BOXHOLM</t>
        </is>
      </c>
      <c r="F4716" t="inlineStr">
        <is>
          <t>Övriga Aktiebolag</t>
        </is>
      </c>
      <c r="G4716" t="n">
        <v>3.1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s="2" t="inlineStr"/>
    </row>
    <row r="4717" ht="15" customHeight="1">
      <c r="A4717" t="inlineStr">
        <is>
          <t>A 60867-2022</t>
        </is>
      </c>
      <c r="B4717" s="1" t="n">
        <v>44914</v>
      </c>
      <c r="C4717" s="1" t="n">
        <v>45211</v>
      </c>
      <c r="D4717" t="inlineStr">
        <is>
          <t>ÖSTERGÖTLANDS LÄN</t>
        </is>
      </c>
      <c r="E4717" t="inlineStr">
        <is>
          <t>BOXHOLM</t>
        </is>
      </c>
      <c r="F4717" t="inlineStr">
        <is>
          <t>Övriga Aktiebolag</t>
        </is>
      </c>
      <c r="G4717" t="n">
        <v>1.4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s="2" t="inlineStr"/>
    </row>
    <row r="4718" ht="15" customHeight="1">
      <c r="A4718" t="inlineStr">
        <is>
          <t>A 61182-2022</t>
        </is>
      </c>
      <c r="B4718" s="1" t="n">
        <v>44915</v>
      </c>
      <c r="C4718" s="1" t="n">
        <v>45211</v>
      </c>
      <c r="D4718" t="inlineStr">
        <is>
          <t>ÖSTERGÖTLANDS LÄN</t>
        </is>
      </c>
      <c r="E4718" t="inlineStr">
        <is>
          <t>ÅTVIDABERG</t>
        </is>
      </c>
      <c r="G4718" t="n">
        <v>1.9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s="2" t="inlineStr"/>
    </row>
    <row r="4719" ht="15" customHeight="1">
      <c r="A4719" t="inlineStr">
        <is>
          <t>A 61355-2022</t>
        </is>
      </c>
      <c r="B4719" s="1" t="n">
        <v>44915</v>
      </c>
      <c r="C4719" s="1" t="n">
        <v>45211</v>
      </c>
      <c r="D4719" t="inlineStr">
        <is>
          <t>ÖSTERGÖTLANDS LÄN</t>
        </is>
      </c>
      <c r="E4719" t="inlineStr">
        <is>
          <t>VALDEMARSVIK</t>
        </is>
      </c>
      <c r="G4719" t="n">
        <v>3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s="2" t="inlineStr"/>
    </row>
    <row r="4720" ht="15" customHeight="1">
      <c r="A4720" t="inlineStr">
        <is>
          <t>A 62321-2022</t>
        </is>
      </c>
      <c r="B4720" s="1" t="n">
        <v>44916</v>
      </c>
      <c r="C4720" s="1" t="n">
        <v>45211</v>
      </c>
      <c r="D4720" t="inlineStr">
        <is>
          <t>ÖSTERGÖTLANDS LÄN</t>
        </is>
      </c>
      <c r="E4720" t="inlineStr">
        <is>
          <t>LINKÖPING</t>
        </is>
      </c>
      <c r="F4720" t="inlineStr">
        <is>
          <t>Kommuner</t>
        </is>
      </c>
      <c r="G4720" t="n">
        <v>5.3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s="2" t="inlineStr"/>
    </row>
    <row r="4721" ht="15" customHeight="1">
      <c r="A4721" t="inlineStr">
        <is>
          <t>A 62228-2022</t>
        </is>
      </c>
      <c r="B4721" s="1" t="n">
        <v>44916</v>
      </c>
      <c r="C4721" s="1" t="n">
        <v>45211</v>
      </c>
      <c r="D4721" t="inlineStr">
        <is>
          <t>ÖSTERGÖTLANDS LÄN</t>
        </is>
      </c>
      <c r="E4721" t="inlineStr">
        <is>
          <t>YDRE</t>
        </is>
      </c>
      <c r="G4721" t="n">
        <v>1.3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s="2" t="inlineStr"/>
    </row>
    <row r="4722" ht="15" customHeight="1">
      <c r="A4722" t="inlineStr">
        <is>
          <t>A 61436-2022</t>
        </is>
      </c>
      <c r="B4722" s="1" t="n">
        <v>44916</v>
      </c>
      <c r="C4722" s="1" t="n">
        <v>45211</v>
      </c>
      <c r="D4722" t="inlineStr">
        <is>
          <t>ÖSTERGÖTLANDS LÄN</t>
        </is>
      </c>
      <c r="E4722" t="inlineStr">
        <is>
          <t>VALDEMARSVIK</t>
        </is>
      </c>
      <c r="G4722" t="n">
        <v>1.9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s="2" t="inlineStr"/>
    </row>
    <row r="4723" ht="15" customHeight="1">
      <c r="A4723" t="inlineStr">
        <is>
          <t>A 61670-2022</t>
        </is>
      </c>
      <c r="B4723" s="1" t="n">
        <v>44917</v>
      </c>
      <c r="C4723" s="1" t="n">
        <v>45211</v>
      </c>
      <c r="D4723" t="inlineStr">
        <is>
          <t>ÖSTERGÖTLANDS LÄN</t>
        </is>
      </c>
      <c r="E4723" t="inlineStr">
        <is>
          <t>ÅTVIDABERG</t>
        </is>
      </c>
      <c r="G4723" t="n">
        <v>4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s="2" t="inlineStr"/>
    </row>
    <row r="4724" ht="15" customHeight="1">
      <c r="A4724" t="inlineStr">
        <is>
          <t>A 61802-2022</t>
        </is>
      </c>
      <c r="B4724" s="1" t="n">
        <v>44917</v>
      </c>
      <c r="C4724" s="1" t="n">
        <v>45211</v>
      </c>
      <c r="D4724" t="inlineStr">
        <is>
          <t>ÖSTERGÖTLANDS LÄN</t>
        </is>
      </c>
      <c r="E4724" t="inlineStr">
        <is>
          <t>SÖDERKÖPING</t>
        </is>
      </c>
      <c r="G4724" t="n">
        <v>2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s="2" t="inlineStr"/>
    </row>
    <row r="4725" ht="15" customHeight="1">
      <c r="A4725" t="inlineStr">
        <is>
          <t>A 61812-2022</t>
        </is>
      </c>
      <c r="B4725" s="1" t="n">
        <v>44917</v>
      </c>
      <c r="C4725" s="1" t="n">
        <v>45211</v>
      </c>
      <c r="D4725" t="inlineStr">
        <is>
          <t>ÖSTERGÖTLANDS LÄN</t>
        </is>
      </c>
      <c r="E4725" t="inlineStr">
        <is>
          <t>NORRKÖPING</t>
        </is>
      </c>
      <c r="G4725" t="n">
        <v>8.4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s="2" t="inlineStr"/>
    </row>
    <row r="4726" ht="15" customHeight="1">
      <c r="A4726" t="inlineStr">
        <is>
          <t>A 61962-2022</t>
        </is>
      </c>
      <c r="B4726" s="1" t="n">
        <v>44918</v>
      </c>
      <c r="C4726" s="1" t="n">
        <v>45211</v>
      </c>
      <c r="D4726" t="inlineStr">
        <is>
          <t>ÖSTERGÖTLANDS LÄN</t>
        </is>
      </c>
      <c r="E4726" t="inlineStr">
        <is>
          <t>KINDA</t>
        </is>
      </c>
      <c r="G4726" t="n">
        <v>2.5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s="2" t="inlineStr"/>
    </row>
    <row r="4727" ht="15" customHeight="1">
      <c r="A4727" t="inlineStr">
        <is>
          <t>A 61961-2022</t>
        </is>
      </c>
      <c r="B4727" s="1" t="n">
        <v>44918</v>
      </c>
      <c r="C4727" s="1" t="n">
        <v>45211</v>
      </c>
      <c r="D4727" t="inlineStr">
        <is>
          <t>ÖSTERGÖTLANDS LÄN</t>
        </is>
      </c>
      <c r="E4727" t="inlineStr">
        <is>
          <t>KINDA</t>
        </is>
      </c>
      <c r="G4727" t="n">
        <v>0.9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s="2" t="inlineStr"/>
    </row>
    <row r="4728" ht="15" customHeight="1">
      <c r="A4728" t="inlineStr">
        <is>
          <t>A 252-2023</t>
        </is>
      </c>
      <c r="B4728" s="1" t="n">
        <v>44922</v>
      </c>
      <c r="C4728" s="1" t="n">
        <v>45211</v>
      </c>
      <c r="D4728" t="inlineStr">
        <is>
          <t>ÖSTERGÖTLANDS LÄN</t>
        </is>
      </c>
      <c r="E4728" t="inlineStr">
        <is>
          <t>VALDEMARSVIK</t>
        </is>
      </c>
      <c r="G4728" t="n">
        <v>0.8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s="2" t="inlineStr"/>
    </row>
    <row r="4729" ht="15" customHeight="1">
      <c r="A4729" t="inlineStr">
        <is>
          <t>A 62236-2022</t>
        </is>
      </c>
      <c r="B4729" s="1" t="n">
        <v>44922</v>
      </c>
      <c r="C4729" s="1" t="n">
        <v>45211</v>
      </c>
      <c r="D4729" t="inlineStr">
        <is>
          <t>ÖSTERGÖTLANDS LÄN</t>
        </is>
      </c>
      <c r="E4729" t="inlineStr">
        <is>
          <t>ÅTVIDABERG</t>
        </is>
      </c>
      <c r="G4729" t="n">
        <v>2.4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s="2" t="inlineStr"/>
    </row>
    <row r="4730" ht="15" customHeight="1">
      <c r="A4730" t="inlineStr">
        <is>
          <t>A 62353-2022</t>
        </is>
      </c>
      <c r="B4730" s="1" t="n">
        <v>44923</v>
      </c>
      <c r="C4730" s="1" t="n">
        <v>45211</v>
      </c>
      <c r="D4730" t="inlineStr">
        <is>
          <t>ÖSTERGÖTLANDS LÄN</t>
        </is>
      </c>
      <c r="E4730" t="inlineStr">
        <is>
          <t>LINKÖPING</t>
        </is>
      </c>
      <c r="F4730" t="inlineStr">
        <is>
          <t>Allmännings- och besparingsskogar</t>
        </is>
      </c>
      <c r="G4730" t="n">
        <v>1.7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s="2" t="inlineStr"/>
    </row>
    <row r="4731" ht="15" customHeight="1">
      <c r="A4731" t="inlineStr">
        <is>
          <t>A 62386-2022</t>
        </is>
      </c>
      <c r="B4731" s="1" t="n">
        <v>44923</v>
      </c>
      <c r="C4731" s="1" t="n">
        <v>45211</v>
      </c>
      <c r="D4731" t="inlineStr">
        <is>
          <t>ÖSTERGÖTLANDS LÄN</t>
        </is>
      </c>
      <c r="E4731" t="inlineStr">
        <is>
          <t>NORRKÖPING</t>
        </is>
      </c>
      <c r="F4731" t="inlineStr">
        <is>
          <t>Holmen skog AB</t>
        </is>
      </c>
      <c r="G4731" t="n">
        <v>8.699999999999999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s="2" t="inlineStr"/>
    </row>
    <row r="4732" ht="15" customHeight="1">
      <c r="A4732" t="inlineStr">
        <is>
          <t>A 62381-2022</t>
        </is>
      </c>
      <c r="B4732" s="1" t="n">
        <v>44923</v>
      </c>
      <c r="C4732" s="1" t="n">
        <v>45211</v>
      </c>
      <c r="D4732" t="inlineStr">
        <is>
          <t>ÖSTERGÖTLANDS LÄN</t>
        </is>
      </c>
      <c r="E4732" t="inlineStr">
        <is>
          <t>NORRKÖPING</t>
        </is>
      </c>
      <c r="F4732" t="inlineStr">
        <is>
          <t>Holmen skog AB</t>
        </is>
      </c>
      <c r="G4732" t="n">
        <v>0.8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s="2" t="inlineStr"/>
    </row>
    <row r="4733" ht="15" customHeight="1">
      <c r="A4733" t="inlineStr">
        <is>
          <t>A 62737-2022</t>
        </is>
      </c>
      <c r="B4733" s="1" t="n">
        <v>44925</v>
      </c>
      <c r="C4733" s="1" t="n">
        <v>45211</v>
      </c>
      <c r="D4733" t="inlineStr">
        <is>
          <t>ÖSTERGÖTLANDS LÄN</t>
        </is>
      </c>
      <c r="E4733" t="inlineStr">
        <is>
          <t>SÖDERKÖPING</t>
        </is>
      </c>
      <c r="G4733" t="n">
        <v>3.8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s="2" t="inlineStr"/>
    </row>
    <row r="4734" ht="15" customHeight="1">
      <c r="A4734" t="inlineStr">
        <is>
          <t>A 62709-2022</t>
        </is>
      </c>
      <c r="B4734" s="1" t="n">
        <v>44925</v>
      </c>
      <c r="C4734" s="1" t="n">
        <v>45211</v>
      </c>
      <c r="D4734" t="inlineStr">
        <is>
          <t>ÖSTERGÖTLANDS LÄN</t>
        </is>
      </c>
      <c r="E4734" t="inlineStr">
        <is>
          <t>SÖDERKÖPING</t>
        </is>
      </c>
      <c r="G4734" t="n">
        <v>0.9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s="2" t="inlineStr"/>
    </row>
    <row r="4735" ht="15" customHeight="1">
      <c r="A4735" t="inlineStr">
        <is>
          <t>A 225-2023</t>
        </is>
      </c>
      <c r="B4735" s="1" t="n">
        <v>44928</v>
      </c>
      <c r="C4735" s="1" t="n">
        <v>45211</v>
      </c>
      <c r="D4735" t="inlineStr">
        <is>
          <t>ÖSTERGÖTLANDS LÄN</t>
        </is>
      </c>
      <c r="E4735" t="inlineStr">
        <is>
          <t>SÖDERKÖPING</t>
        </is>
      </c>
      <c r="G4735" t="n">
        <v>1.9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s="2" t="inlineStr"/>
    </row>
    <row r="4736" ht="15" customHeight="1">
      <c r="A4736" t="inlineStr">
        <is>
          <t>A 1084-2023</t>
        </is>
      </c>
      <c r="B4736" s="1" t="n">
        <v>44929</v>
      </c>
      <c r="C4736" s="1" t="n">
        <v>45211</v>
      </c>
      <c r="D4736" t="inlineStr">
        <is>
          <t>ÖSTERGÖTLANDS LÄN</t>
        </is>
      </c>
      <c r="E4736" t="inlineStr">
        <is>
          <t>LINKÖPING</t>
        </is>
      </c>
      <c r="G4736" t="n">
        <v>10.4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s="2" t="inlineStr"/>
    </row>
    <row r="4737" ht="15" customHeight="1">
      <c r="A4737" t="inlineStr">
        <is>
          <t>A 532-2023</t>
        </is>
      </c>
      <c r="B4737" s="1" t="n">
        <v>44930</v>
      </c>
      <c r="C4737" s="1" t="n">
        <v>45211</v>
      </c>
      <c r="D4737" t="inlineStr">
        <is>
          <t>ÖSTERGÖTLANDS LÄN</t>
        </is>
      </c>
      <c r="E4737" t="inlineStr">
        <is>
          <t>FINSPÅNG</t>
        </is>
      </c>
      <c r="G4737" t="n">
        <v>1.9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s="2" t="inlineStr"/>
    </row>
    <row r="4738" ht="15" customHeight="1">
      <c r="A4738" t="inlineStr">
        <is>
          <t>A 668-2023</t>
        </is>
      </c>
      <c r="B4738" s="1" t="n">
        <v>44930</v>
      </c>
      <c r="C4738" s="1" t="n">
        <v>45211</v>
      </c>
      <c r="D4738" t="inlineStr">
        <is>
          <t>ÖSTERGÖTLANDS LÄN</t>
        </is>
      </c>
      <c r="E4738" t="inlineStr">
        <is>
          <t>ÅTVIDABERG</t>
        </is>
      </c>
      <c r="G4738" t="n">
        <v>3.2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s="2" t="inlineStr"/>
    </row>
    <row r="4739" ht="15" customHeight="1">
      <c r="A4739" t="inlineStr">
        <is>
          <t>A 1211-2023</t>
        </is>
      </c>
      <c r="B4739" s="1" t="n">
        <v>44930</v>
      </c>
      <c r="C4739" s="1" t="n">
        <v>45211</v>
      </c>
      <c r="D4739" t="inlineStr">
        <is>
          <t>ÖSTERGÖTLANDS LÄN</t>
        </is>
      </c>
      <c r="E4739" t="inlineStr">
        <is>
          <t>LINKÖPING</t>
        </is>
      </c>
      <c r="F4739" t="inlineStr">
        <is>
          <t>Övriga statliga verk och myndigheter</t>
        </is>
      </c>
      <c r="G4739" t="n">
        <v>7.9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s="2" t="inlineStr"/>
    </row>
    <row r="4740" ht="15" customHeight="1">
      <c r="A4740" t="inlineStr">
        <is>
          <t>A 529-2023</t>
        </is>
      </c>
      <c r="B4740" s="1" t="n">
        <v>44930</v>
      </c>
      <c r="C4740" s="1" t="n">
        <v>45211</v>
      </c>
      <c r="D4740" t="inlineStr">
        <is>
          <t>ÖSTERGÖTLANDS LÄN</t>
        </is>
      </c>
      <c r="E4740" t="inlineStr">
        <is>
          <t>FINSPÅNG</t>
        </is>
      </c>
      <c r="G4740" t="n">
        <v>5.8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s="2" t="inlineStr"/>
    </row>
    <row r="4741" ht="15" customHeight="1">
      <c r="A4741" t="inlineStr">
        <is>
          <t>A 1207-2023</t>
        </is>
      </c>
      <c r="B4741" s="1" t="n">
        <v>44930</v>
      </c>
      <c r="C4741" s="1" t="n">
        <v>45211</v>
      </c>
      <c r="D4741" t="inlineStr">
        <is>
          <t>ÖSTERGÖTLANDS LÄN</t>
        </is>
      </c>
      <c r="E4741" t="inlineStr">
        <is>
          <t>LINKÖPING</t>
        </is>
      </c>
      <c r="F4741" t="inlineStr">
        <is>
          <t>Övriga statliga verk och myndigheter</t>
        </is>
      </c>
      <c r="G4741" t="n">
        <v>32.8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s="2" t="inlineStr"/>
    </row>
    <row r="4742" ht="15" customHeight="1">
      <c r="A4742" t="inlineStr">
        <is>
          <t>A 535-2023</t>
        </is>
      </c>
      <c r="B4742" s="1" t="n">
        <v>44930</v>
      </c>
      <c r="C4742" s="1" t="n">
        <v>45211</v>
      </c>
      <c r="D4742" t="inlineStr">
        <is>
          <t>ÖSTERGÖTLANDS LÄN</t>
        </is>
      </c>
      <c r="E4742" t="inlineStr">
        <is>
          <t>FINSPÅNG</t>
        </is>
      </c>
      <c r="G4742" t="n">
        <v>2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s="2" t="inlineStr"/>
    </row>
    <row r="4743" ht="15" customHeight="1">
      <c r="A4743" t="inlineStr">
        <is>
          <t>A 611-2023</t>
        </is>
      </c>
      <c r="B4743" s="1" t="n">
        <v>44930</v>
      </c>
      <c r="C4743" s="1" t="n">
        <v>45211</v>
      </c>
      <c r="D4743" t="inlineStr">
        <is>
          <t>ÖSTERGÖTLANDS LÄN</t>
        </is>
      </c>
      <c r="E4743" t="inlineStr">
        <is>
          <t>FINSPÅNG</t>
        </is>
      </c>
      <c r="F4743" t="inlineStr">
        <is>
          <t>Holmen skog AB</t>
        </is>
      </c>
      <c r="G4743" t="n">
        <v>0.4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s="2" t="inlineStr"/>
    </row>
    <row r="4744" ht="15" customHeight="1">
      <c r="A4744" t="inlineStr">
        <is>
          <t>A 660-2023</t>
        </is>
      </c>
      <c r="B4744" s="1" t="n">
        <v>44930</v>
      </c>
      <c r="C4744" s="1" t="n">
        <v>45211</v>
      </c>
      <c r="D4744" t="inlineStr">
        <is>
          <t>ÖSTERGÖTLANDS LÄN</t>
        </is>
      </c>
      <c r="E4744" t="inlineStr">
        <is>
          <t>LINKÖPING</t>
        </is>
      </c>
      <c r="F4744" t="inlineStr">
        <is>
          <t>Kyrkan</t>
        </is>
      </c>
      <c r="G4744" t="n">
        <v>1.6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s="2" t="inlineStr"/>
    </row>
    <row r="4745" ht="15" customHeight="1">
      <c r="A4745" t="inlineStr">
        <is>
          <t>A 530-2023</t>
        </is>
      </c>
      <c r="B4745" s="1" t="n">
        <v>44930</v>
      </c>
      <c r="C4745" s="1" t="n">
        <v>45211</v>
      </c>
      <c r="D4745" t="inlineStr">
        <is>
          <t>ÖSTERGÖTLANDS LÄN</t>
        </is>
      </c>
      <c r="E4745" t="inlineStr">
        <is>
          <t>FINSPÅNG</t>
        </is>
      </c>
      <c r="G4745" t="n">
        <v>2.5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s="2" t="inlineStr"/>
    </row>
    <row r="4746" ht="15" customHeight="1">
      <c r="A4746" t="inlineStr">
        <is>
          <t>A 637-2023</t>
        </is>
      </c>
      <c r="B4746" s="1" t="n">
        <v>44930</v>
      </c>
      <c r="C4746" s="1" t="n">
        <v>45211</v>
      </c>
      <c r="D4746" t="inlineStr">
        <is>
          <t>ÖSTERGÖTLANDS LÄN</t>
        </is>
      </c>
      <c r="E4746" t="inlineStr">
        <is>
          <t>MOTALA</t>
        </is>
      </c>
      <c r="G4746" t="n">
        <v>2.4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s="2" t="inlineStr"/>
    </row>
    <row r="4747" ht="15" customHeight="1">
      <c r="A4747" t="inlineStr">
        <is>
          <t>A 1018-2023</t>
        </is>
      </c>
      <c r="B4747" s="1" t="n">
        <v>44930</v>
      </c>
      <c r="C4747" s="1" t="n">
        <v>45211</v>
      </c>
      <c r="D4747" t="inlineStr">
        <is>
          <t>ÖSTERGÖTLANDS LÄN</t>
        </is>
      </c>
      <c r="E4747" t="inlineStr">
        <is>
          <t>NORRKÖPING</t>
        </is>
      </c>
      <c r="G4747" t="n">
        <v>1.7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s="2" t="inlineStr"/>
    </row>
    <row r="4748" ht="15" customHeight="1">
      <c r="A4748" t="inlineStr">
        <is>
          <t>A 1209-2023</t>
        </is>
      </c>
      <c r="B4748" s="1" t="n">
        <v>44930</v>
      </c>
      <c r="C4748" s="1" t="n">
        <v>45211</v>
      </c>
      <c r="D4748" t="inlineStr">
        <is>
          <t>ÖSTERGÖTLANDS LÄN</t>
        </is>
      </c>
      <c r="E4748" t="inlineStr">
        <is>
          <t>LINKÖPING</t>
        </is>
      </c>
      <c r="F4748" t="inlineStr">
        <is>
          <t>Övriga statliga verk och myndigheter</t>
        </is>
      </c>
      <c r="G4748" t="n">
        <v>25.8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s="2" t="inlineStr"/>
    </row>
    <row r="4749" ht="15" customHeight="1">
      <c r="A4749" t="inlineStr">
        <is>
          <t>A 747-2023</t>
        </is>
      </c>
      <c r="B4749" s="1" t="n">
        <v>44931</v>
      </c>
      <c r="C4749" s="1" t="n">
        <v>45211</v>
      </c>
      <c r="D4749" t="inlineStr">
        <is>
          <t>ÖSTERGÖTLANDS LÄN</t>
        </is>
      </c>
      <c r="E4749" t="inlineStr">
        <is>
          <t>NORRKÖPING</t>
        </is>
      </c>
      <c r="G4749" t="n">
        <v>3.6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s="2" t="inlineStr"/>
    </row>
    <row r="4750" ht="15" customHeight="1">
      <c r="A4750" t="inlineStr">
        <is>
          <t>A 1301-2023</t>
        </is>
      </c>
      <c r="B4750" s="1" t="n">
        <v>44931</v>
      </c>
      <c r="C4750" s="1" t="n">
        <v>45211</v>
      </c>
      <c r="D4750" t="inlineStr">
        <is>
          <t>ÖSTERGÖTLANDS LÄN</t>
        </is>
      </c>
      <c r="E4750" t="inlineStr">
        <is>
          <t>MOTALA</t>
        </is>
      </c>
      <c r="F4750" t="inlineStr">
        <is>
          <t>Övriga statliga verk och myndigheter</t>
        </is>
      </c>
      <c r="G4750" t="n">
        <v>7.7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s="2" t="inlineStr"/>
    </row>
    <row r="4751" ht="15" customHeight="1">
      <c r="A4751" t="inlineStr">
        <is>
          <t>A 886-2023</t>
        </is>
      </c>
      <c r="B4751" s="1" t="n">
        <v>44931</v>
      </c>
      <c r="C4751" s="1" t="n">
        <v>45211</v>
      </c>
      <c r="D4751" t="inlineStr">
        <is>
          <t>ÖSTERGÖTLANDS LÄN</t>
        </is>
      </c>
      <c r="E4751" t="inlineStr">
        <is>
          <t>ÖDESHÖG</t>
        </is>
      </c>
      <c r="G4751" t="n">
        <v>2.2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s="2" t="inlineStr"/>
    </row>
    <row r="4752" ht="15" customHeight="1">
      <c r="A4752" t="inlineStr">
        <is>
          <t>A 1362-2023</t>
        </is>
      </c>
      <c r="B4752" s="1" t="n">
        <v>44931</v>
      </c>
      <c r="C4752" s="1" t="n">
        <v>45211</v>
      </c>
      <c r="D4752" t="inlineStr">
        <is>
          <t>ÖSTERGÖTLANDS LÄN</t>
        </is>
      </c>
      <c r="E4752" t="inlineStr">
        <is>
          <t>LINKÖPING</t>
        </is>
      </c>
      <c r="G4752" t="n">
        <v>1.8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s="2" t="inlineStr"/>
    </row>
    <row r="4753" ht="15" customHeight="1">
      <c r="A4753" t="inlineStr">
        <is>
          <t>A 736-2023</t>
        </is>
      </c>
      <c r="B4753" s="1" t="n">
        <v>44931</v>
      </c>
      <c r="C4753" s="1" t="n">
        <v>45211</v>
      </c>
      <c r="D4753" t="inlineStr">
        <is>
          <t>ÖSTERGÖTLANDS LÄN</t>
        </is>
      </c>
      <c r="E4753" t="inlineStr">
        <is>
          <t>ÅTVIDABERG</t>
        </is>
      </c>
      <c r="G4753" t="n">
        <v>3.2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s="2" t="inlineStr"/>
    </row>
    <row r="4754" ht="15" customHeight="1">
      <c r="A4754" t="inlineStr">
        <is>
          <t>A 1355-2023</t>
        </is>
      </c>
      <c r="B4754" s="1" t="n">
        <v>44931</v>
      </c>
      <c r="C4754" s="1" t="n">
        <v>45211</v>
      </c>
      <c r="D4754" t="inlineStr">
        <is>
          <t>ÖSTERGÖTLANDS LÄN</t>
        </is>
      </c>
      <c r="E4754" t="inlineStr">
        <is>
          <t>LINKÖPING</t>
        </is>
      </c>
      <c r="G4754" t="n">
        <v>4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s="2" t="inlineStr"/>
    </row>
    <row r="4755" ht="15" customHeight="1">
      <c r="A4755" t="inlineStr">
        <is>
          <t>A 940-2023</t>
        </is>
      </c>
      <c r="B4755" s="1" t="n">
        <v>44933</v>
      </c>
      <c r="C4755" s="1" t="n">
        <v>45211</v>
      </c>
      <c r="D4755" t="inlineStr">
        <is>
          <t>ÖSTERGÖTLANDS LÄN</t>
        </is>
      </c>
      <c r="E4755" t="inlineStr">
        <is>
          <t>LINKÖPING</t>
        </is>
      </c>
      <c r="G4755" t="n">
        <v>1.5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s="2" t="inlineStr"/>
    </row>
    <row r="4756" ht="15" customHeight="1">
      <c r="A4756" t="inlineStr">
        <is>
          <t>A 938-2023</t>
        </is>
      </c>
      <c r="B4756" s="1" t="n">
        <v>44933</v>
      </c>
      <c r="C4756" s="1" t="n">
        <v>45211</v>
      </c>
      <c r="D4756" t="inlineStr">
        <is>
          <t>ÖSTERGÖTLANDS LÄN</t>
        </is>
      </c>
      <c r="E4756" t="inlineStr">
        <is>
          <t>LINKÖPING</t>
        </is>
      </c>
      <c r="G4756" t="n">
        <v>0.5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s="2" t="inlineStr"/>
    </row>
    <row r="4757" ht="15" customHeight="1">
      <c r="A4757" t="inlineStr">
        <is>
          <t>A 1092-2023</t>
        </is>
      </c>
      <c r="B4757" s="1" t="n">
        <v>44935</v>
      </c>
      <c r="C4757" s="1" t="n">
        <v>45211</v>
      </c>
      <c r="D4757" t="inlineStr">
        <is>
          <t>ÖSTERGÖTLANDS LÄN</t>
        </is>
      </c>
      <c r="E4757" t="inlineStr">
        <is>
          <t>MOTALA</t>
        </is>
      </c>
      <c r="G4757" t="n">
        <v>2.8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s="2" t="inlineStr"/>
    </row>
    <row r="4758" ht="15" customHeight="1">
      <c r="A4758" t="inlineStr">
        <is>
          <t>A 1121-2023</t>
        </is>
      </c>
      <c r="B4758" s="1" t="n">
        <v>44935</v>
      </c>
      <c r="C4758" s="1" t="n">
        <v>45211</v>
      </c>
      <c r="D4758" t="inlineStr">
        <is>
          <t>ÖSTERGÖTLANDS LÄN</t>
        </is>
      </c>
      <c r="E4758" t="inlineStr">
        <is>
          <t>ÅTVIDABERG</t>
        </is>
      </c>
      <c r="G4758" t="n">
        <v>2.2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s="2" t="inlineStr"/>
    </row>
    <row r="4759" ht="15" customHeight="1">
      <c r="A4759" t="inlineStr">
        <is>
          <t>A 1056-2023</t>
        </is>
      </c>
      <c r="B4759" s="1" t="n">
        <v>44935</v>
      </c>
      <c r="C4759" s="1" t="n">
        <v>45211</v>
      </c>
      <c r="D4759" t="inlineStr">
        <is>
          <t>ÖSTERGÖTLANDS LÄN</t>
        </is>
      </c>
      <c r="E4759" t="inlineStr">
        <is>
          <t>NORRKÖPING</t>
        </is>
      </c>
      <c r="F4759" t="inlineStr">
        <is>
          <t>Holmen skog AB</t>
        </is>
      </c>
      <c r="G4759" t="n">
        <v>1.5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s="2" t="inlineStr"/>
    </row>
    <row r="4760" ht="15" customHeight="1">
      <c r="A4760" t="inlineStr">
        <is>
          <t>A 1089-2023</t>
        </is>
      </c>
      <c r="B4760" s="1" t="n">
        <v>44935</v>
      </c>
      <c r="C4760" s="1" t="n">
        <v>45211</v>
      </c>
      <c r="D4760" t="inlineStr">
        <is>
          <t>ÖSTERGÖTLANDS LÄN</t>
        </is>
      </c>
      <c r="E4760" t="inlineStr">
        <is>
          <t>NORRKÖPING</t>
        </is>
      </c>
      <c r="G4760" t="n">
        <v>2.1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s="2" t="inlineStr"/>
    </row>
    <row r="4761" ht="15" customHeight="1">
      <c r="A4761" t="inlineStr">
        <is>
          <t>A 1039-2023</t>
        </is>
      </c>
      <c r="B4761" s="1" t="n">
        <v>44935</v>
      </c>
      <c r="C4761" s="1" t="n">
        <v>45211</v>
      </c>
      <c r="D4761" t="inlineStr">
        <is>
          <t>ÖSTERGÖTLANDS LÄN</t>
        </is>
      </c>
      <c r="E4761" t="inlineStr">
        <is>
          <t>NORRKÖPING</t>
        </is>
      </c>
      <c r="F4761" t="inlineStr">
        <is>
          <t>Holmen skog AB</t>
        </is>
      </c>
      <c r="G4761" t="n">
        <v>0.5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s="2" t="inlineStr"/>
    </row>
    <row r="4762" ht="15" customHeight="1">
      <c r="A4762" t="inlineStr">
        <is>
          <t>A 1077-2023</t>
        </is>
      </c>
      <c r="B4762" s="1" t="n">
        <v>44935</v>
      </c>
      <c r="C4762" s="1" t="n">
        <v>45211</v>
      </c>
      <c r="D4762" t="inlineStr">
        <is>
          <t>ÖSTERGÖTLANDS LÄN</t>
        </is>
      </c>
      <c r="E4762" t="inlineStr">
        <is>
          <t>NORRKÖPING</t>
        </is>
      </c>
      <c r="G4762" t="n">
        <v>3.4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s="2" t="inlineStr"/>
    </row>
    <row r="4763" ht="15" customHeight="1">
      <c r="A4763" t="inlineStr">
        <is>
          <t>A 1099-2023</t>
        </is>
      </c>
      <c r="B4763" s="1" t="n">
        <v>44935</v>
      </c>
      <c r="C4763" s="1" t="n">
        <v>45211</v>
      </c>
      <c r="D4763" t="inlineStr">
        <is>
          <t>ÖSTERGÖTLANDS LÄN</t>
        </is>
      </c>
      <c r="E4763" t="inlineStr">
        <is>
          <t>MOTALA</t>
        </is>
      </c>
      <c r="G4763" t="n">
        <v>1.6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s="2" t="inlineStr"/>
    </row>
    <row r="4764" ht="15" customHeight="1">
      <c r="A4764" t="inlineStr">
        <is>
          <t>A 1118-2023</t>
        </is>
      </c>
      <c r="B4764" s="1" t="n">
        <v>44935</v>
      </c>
      <c r="C4764" s="1" t="n">
        <v>45211</v>
      </c>
      <c r="D4764" t="inlineStr">
        <is>
          <t>ÖSTERGÖTLANDS LÄN</t>
        </is>
      </c>
      <c r="E4764" t="inlineStr">
        <is>
          <t>MOTALA</t>
        </is>
      </c>
      <c r="G4764" t="n">
        <v>1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s="2" t="inlineStr"/>
    </row>
    <row r="4765" ht="15" customHeight="1">
      <c r="A4765" t="inlineStr">
        <is>
          <t>A 1503-2023</t>
        </is>
      </c>
      <c r="B4765" s="1" t="n">
        <v>44935</v>
      </c>
      <c r="C4765" s="1" t="n">
        <v>45211</v>
      </c>
      <c r="D4765" t="inlineStr">
        <is>
          <t>ÖSTERGÖTLANDS LÄN</t>
        </is>
      </c>
      <c r="E4765" t="inlineStr">
        <is>
          <t>KINDA</t>
        </is>
      </c>
      <c r="G4765" t="n">
        <v>0.7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s="2" t="inlineStr"/>
    </row>
    <row r="4766" ht="15" customHeight="1">
      <c r="A4766" t="inlineStr">
        <is>
          <t>A 1016-2023</t>
        </is>
      </c>
      <c r="B4766" s="1" t="n">
        <v>44935</v>
      </c>
      <c r="C4766" s="1" t="n">
        <v>45211</v>
      </c>
      <c r="D4766" t="inlineStr">
        <is>
          <t>ÖSTERGÖTLANDS LÄN</t>
        </is>
      </c>
      <c r="E4766" t="inlineStr">
        <is>
          <t>ÅTVIDABERG</t>
        </is>
      </c>
      <c r="G4766" t="n">
        <v>2.2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s="2" t="inlineStr"/>
    </row>
    <row r="4767" ht="15" customHeight="1">
      <c r="A4767" t="inlineStr">
        <is>
          <t>A 1038-2023</t>
        </is>
      </c>
      <c r="B4767" s="1" t="n">
        <v>44935</v>
      </c>
      <c r="C4767" s="1" t="n">
        <v>45211</v>
      </c>
      <c r="D4767" t="inlineStr">
        <is>
          <t>ÖSTERGÖTLANDS LÄN</t>
        </is>
      </c>
      <c r="E4767" t="inlineStr">
        <is>
          <t>MOTALA</t>
        </is>
      </c>
      <c r="G4767" t="n">
        <v>3.1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s="2" t="inlineStr"/>
    </row>
    <row r="4768" ht="15" customHeight="1">
      <c r="A4768" t="inlineStr">
        <is>
          <t>A 1094-2023</t>
        </is>
      </c>
      <c r="B4768" s="1" t="n">
        <v>44935</v>
      </c>
      <c r="C4768" s="1" t="n">
        <v>45211</v>
      </c>
      <c r="D4768" t="inlineStr">
        <is>
          <t>ÖSTERGÖTLANDS LÄN</t>
        </is>
      </c>
      <c r="E4768" t="inlineStr">
        <is>
          <t>MOTALA</t>
        </is>
      </c>
      <c r="G4768" t="n">
        <v>0.8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s="2" t="inlineStr"/>
    </row>
    <row r="4769" ht="15" customHeight="1">
      <c r="A4769" t="inlineStr">
        <is>
          <t>A 1260-2023</t>
        </is>
      </c>
      <c r="B4769" s="1" t="n">
        <v>44936</v>
      </c>
      <c r="C4769" s="1" t="n">
        <v>45211</v>
      </c>
      <c r="D4769" t="inlineStr">
        <is>
          <t>ÖSTERGÖTLANDS LÄN</t>
        </is>
      </c>
      <c r="E4769" t="inlineStr">
        <is>
          <t>LINKÖPING</t>
        </is>
      </c>
      <c r="G4769" t="n">
        <v>1.2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s="2" t="inlineStr"/>
    </row>
    <row r="4770" ht="15" customHeight="1">
      <c r="A4770" t="inlineStr">
        <is>
          <t>A 1281-2023</t>
        </is>
      </c>
      <c r="B4770" s="1" t="n">
        <v>44936</v>
      </c>
      <c r="C4770" s="1" t="n">
        <v>45211</v>
      </c>
      <c r="D4770" t="inlineStr">
        <is>
          <t>ÖSTERGÖTLANDS LÄN</t>
        </is>
      </c>
      <c r="E4770" t="inlineStr">
        <is>
          <t>NORRKÖPING</t>
        </is>
      </c>
      <c r="F4770" t="inlineStr">
        <is>
          <t>Holmen skog AB</t>
        </is>
      </c>
      <c r="G4770" t="n">
        <v>0.6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s="2" t="inlineStr"/>
    </row>
    <row r="4771" ht="15" customHeight="1">
      <c r="A4771" t="inlineStr">
        <is>
          <t>A 1289-2023</t>
        </is>
      </c>
      <c r="B4771" s="1" t="n">
        <v>44936</v>
      </c>
      <c r="C4771" s="1" t="n">
        <v>45211</v>
      </c>
      <c r="D4771" t="inlineStr">
        <is>
          <t>ÖSTERGÖTLANDS LÄN</t>
        </is>
      </c>
      <c r="E4771" t="inlineStr">
        <is>
          <t>MJÖLBY</t>
        </is>
      </c>
      <c r="G4771" t="n">
        <v>4.9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s="2" t="inlineStr"/>
    </row>
    <row r="4772" ht="15" customHeight="1">
      <c r="A4772" t="inlineStr">
        <is>
          <t>A 1835-2023</t>
        </is>
      </c>
      <c r="B4772" s="1" t="n">
        <v>44936</v>
      </c>
      <c r="C4772" s="1" t="n">
        <v>45211</v>
      </c>
      <c r="D4772" t="inlineStr">
        <is>
          <t>ÖSTERGÖTLANDS LÄN</t>
        </is>
      </c>
      <c r="E4772" t="inlineStr">
        <is>
          <t>NORRKÖPING</t>
        </is>
      </c>
      <c r="G4772" t="n">
        <v>2.9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s="2" t="inlineStr"/>
    </row>
    <row r="4773" ht="15" customHeight="1">
      <c r="A4773" t="inlineStr">
        <is>
          <t>A 1949-2023</t>
        </is>
      </c>
      <c r="B4773" s="1" t="n">
        <v>44936</v>
      </c>
      <c r="C4773" s="1" t="n">
        <v>45211</v>
      </c>
      <c r="D4773" t="inlineStr">
        <is>
          <t>ÖSTERGÖTLANDS LÄN</t>
        </is>
      </c>
      <c r="E4773" t="inlineStr">
        <is>
          <t>SÖDERKÖPING</t>
        </is>
      </c>
      <c r="G4773" t="n">
        <v>5.3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s="2" t="inlineStr"/>
    </row>
    <row r="4774" ht="15" customHeight="1">
      <c r="A4774" t="inlineStr">
        <is>
          <t>A 1265-2023</t>
        </is>
      </c>
      <c r="B4774" s="1" t="n">
        <v>44936</v>
      </c>
      <c r="C4774" s="1" t="n">
        <v>45211</v>
      </c>
      <c r="D4774" t="inlineStr">
        <is>
          <t>ÖSTERGÖTLANDS LÄN</t>
        </is>
      </c>
      <c r="E4774" t="inlineStr">
        <is>
          <t>LINKÖPING</t>
        </is>
      </c>
      <c r="G4774" t="n">
        <v>2.3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s="2" t="inlineStr"/>
    </row>
    <row r="4775" ht="15" customHeight="1">
      <c r="A4775" t="inlineStr">
        <is>
          <t>A 1277-2023</t>
        </is>
      </c>
      <c r="B4775" s="1" t="n">
        <v>44936</v>
      </c>
      <c r="C4775" s="1" t="n">
        <v>45211</v>
      </c>
      <c r="D4775" t="inlineStr">
        <is>
          <t>ÖSTERGÖTLANDS LÄN</t>
        </is>
      </c>
      <c r="E4775" t="inlineStr">
        <is>
          <t>NORRKÖPING</t>
        </is>
      </c>
      <c r="F4775" t="inlineStr">
        <is>
          <t>Holmen skog AB</t>
        </is>
      </c>
      <c r="G4775" t="n">
        <v>3.1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s="2" t="inlineStr"/>
    </row>
    <row r="4776" ht="15" customHeight="1">
      <c r="A4776" t="inlineStr">
        <is>
          <t>A 1408-2023</t>
        </is>
      </c>
      <c r="B4776" s="1" t="n">
        <v>44936</v>
      </c>
      <c r="C4776" s="1" t="n">
        <v>45211</v>
      </c>
      <c r="D4776" t="inlineStr">
        <is>
          <t>ÖSTERGÖTLANDS LÄN</t>
        </is>
      </c>
      <c r="E4776" t="inlineStr">
        <is>
          <t>SÖDERKÖPING</t>
        </is>
      </c>
      <c r="G4776" t="n">
        <v>2.1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s="2" t="inlineStr"/>
    </row>
    <row r="4777" ht="15" customHeight="1">
      <c r="A4777" t="inlineStr">
        <is>
          <t>A 1930-2023</t>
        </is>
      </c>
      <c r="B4777" s="1" t="n">
        <v>44936</v>
      </c>
      <c r="C4777" s="1" t="n">
        <v>45211</v>
      </c>
      <c r="D4777" t="inlineStr">
        <is>
          <t>ÖSTERGÖTLANDS LÄN</t>
        </is>
      </c>
      <c r="E4777" t="inlineStr">
        <is>
          <t>SÖDERKÖPING</t>
        </is>
      </c>
      <c r="G4777" t="n">
        <v>1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s="2" t="inlineStr"/>
    </row>
    <row r="4778" ht="15" customHeight="1">
      <c r="A4778" t="inlineStr">
        <is>
          <t>A 1264-2023</t>
        </is>
      </c>
      <c r="B4778" s="1" t="n">
        <v>44936</v>
      </c>
      <c r="C4778" s="1" t="n">
        <v>45211</v>
      </c>
      <c r="D4778" t="inlineStr">
        <is>
          <t>ÖSTERGÖTLANDS LÄN</t>
        </is>
      </c>
      <c r="E4778" t="inlineStr">
        <is>
          <t>LINKÖPING</t>
        </is>
      </c>
      <c r="G4778" t="n">
        <v>1.8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s="2" t="inlineStr"/>
    </row>
    <row r="4779" ht="15" customHeight="1">
      <c r="A4779" t="inlineStr">
        <is>
          <t>A 1811-2023</t>
        </is>
      </c>
      <c r="B4779" s="1" t="n">
        <v>44936</v>
      </c>
      <c r="C4779" s="1" t="n">
        <v>45211</v>
      </c>
      <c r="D4779" t="inlineStr">
        <is>
          <t>ÖSTERGÖTLANDS LÄN</t>
        </is>
      </c>
      <c r="E4779" t="inlineStr">
        <is>
          <t>NORRKÖPING</t>
        </is>
      </c>
      <c r="G4779" t="n">
        <v>2.4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s="2" t="inlineStr"/>
    </row>
    <row r="4780" ht="15" customHeight="1">
      <c r="A4780" t="inlineStr">
        <is>
          <t>A 1923-2023</t>
        </is>
      </c>
      <c r="B4780" s="1" t="n">
        <v>44936</v>
      </c>
      <c r="C4780" s="1" t="n">
        <v>45211</v>
      </c>
      <c r="D4780" t="inlineStr">
        <is>
          <t>ÖSTERGÖTLANDS LÄN</t>
        </is>
      </c>
      <c r="E4780" t="inlineStr">
        <is>
          <t>NORRKÖPING</t>
        </is>
      </c>
      <c r="G4780" t="n">
        <v>2.1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s="2" t="inlineStr"/>
    </row>
    <row r="4781" ht="15" customHeight="1">
      <c r="A4781" t="inlineStr">
        <is>
          <t>A 1268-2023</t>
        </is>
      </c>
      <c r="B4781" s="1" t="n">
        <v>44936</v>
      </c>
      <c r="C4781" s="1" t="n">
        <v>45211</v>
      </c>
      <c r="D4781" t="inlineStr">
        <is>
          <t>ÖSTERGÖTLANDS LÄN</t>
        </is>
      </c>
      <c r="E4781" t="inlineStr">
        <is>
          <t>LINKÖPING</t>
        </is>
      </c>
      <c r="G4781" t="n">
        <v>4.6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s="2" t="inlineStr"/>
    </row>
    <row r="4782" ht="15" customHeight="1">
      <c r="A4782" t="inlineStr">
        <is>
          <t>A 1321-2023</t>
        </is>
      </c>
      <c r="B4782" s="1" t="n">
        <v>44936</v>
      </c>
      <c r="C4782" s="1" t="n">
        <v>45211</v>
      </c>
      <c r="D4782" t="inlineStr">
        <is>
          <t>ÖSTERGÖTLANDS LÄN</t>
        </is>
      </c>
      <c r="E4782" t="inlineStr">
        <is>
          <t>ÖDESHÖG</t>
        </is>
      </c>
      <c r="G4782" t="n">
        <v>5.7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s="2" t="inlineStr"/>
    </row>
    <row r="4783" ht="15" customHeight="1">
      <c r="A4783" t="inlineStr">
        <is>
          <t>A 1410-2023</t>
        </is>
      </c>
      <c r="B4783" s="1" t="n">
        <v>44936</v>
      </c>
      <c r="C4783" s="1" t="n">
        <v>45211</v>
      </c>
      <c r="D4783" t="inlineStr">
        <is>
          <t>ÖSTERGÖTLANDS LÄN</t>
        </is>
      </c>
      <c r="E4783" t="inlineStr">
        <is>
          <t>SÖDERKÖPING</t>
        </is>
      </c>
      <c r="G4783" t="n">
        <v>3.7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s="2" t="inlineStr"/>
    </row>
    <row r="4784" ht="15" customHeight="1">
      <c r="A4784" t="inlineStr">
        <is>
          <t>A 1939-2023</t>
        </is>
      </c>
      <c r="B4784" s="1" t="n">
        <v>44936</v>
      </c>
      <c r="C4784" s="1" t="n">
        <v>45211</v>
      </c>
      <c r="D4784" t="inlineStr">
        <is>
          <t>ÖSTERGÖTLANDS LÄN</t>
        </is>
      </c>
      <c r="E4784" t="inlineStr">
        <is>
          <t>NORRKÖPING</t>
        </is>
      </c>
      <c r="G4784" t="n">
        <v>5.8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s="2" t="inlineStr"/>
    </row>
    <row r="4785" ht="15" customHeight="1">
      <c r="A4785" t="inlineStr">
        <is>
          <t>A 1429-2023</t>
        </is>
      </c>
      <c r="B4785" s="1" t="n">
        <v>44937</v>
      </c>
      <c r="C4785" s="1" t="n">
        <v>45211</v>
      </c>
      <c r="D4785" t="inlineStr">
        <is>
          <t>ÖSTERGÖTLANDS LÄN</t>
        </is>
      </c>
      <c r="E4785" t="inlineStr">
        <is>
          <t>LINKÖPING</t>
        </is>
      </c>
      <c r="G4785" t="n">
        <v>1.4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s="2" t="inlineStr"/>
    </row>
    <row r="4786" ht="15" customHeight="1">
      <c r="A4786" t="inlineStr">
        <is>
          <t>A 1620-2023</t>
        </is>
      </c>
      <c r="B4786" s="1" t="n">
        <v>44937</v>
      </c>
      <c r="C4786" s="1" t="n">
        <v>45211</v>
      </c>
      <c r="D4786" t="inlineStr">
        <is>
          <t>ÖSTERGÖTLANDS LÄN</t>
        </is>
      </c>
      <c r="E4786" t="inlineStr">
        <is>
          <t>VALDEMARSVIK</t>
        </is>
      </c>
      <c r="G4786" t="n">
        <v>4.7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s="2" t="inlineStr"/>
    </row>
    <row r="4787" ht="15" customHeight="1">
      <c r="A4787" t="inlineStr">
        <is>
          <t>A 2029-2023</t>
        </is>
      </c>
      <c r="B4787" s="1" t="n">
        <v>44937</v>
      </c>
      <c r="C4787" s="1" t="n">
        <v>45211</v>
      </c>
      <c r="D4787" t="inlineStr">
        <is>
          <t>ÖSTERGÖTLANDS LÄN</t>
        </is>
      </c>
      <c r="E4787" t="inlineStr">
        <is>
          <t>KINDA</t>
        </is>
      </c>
      <c r="G4787" t="n">
        <v>1.6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s="2" t="inlineStr"/>
    </row>
    <row r="4788" ht="15" customHeight="1">
      <c r="A4788" t="inlineStr">
        <is>
          <t>A 1422-2023</t>
        </is>
      </c>
      <c r="B4788" s="1" t="n">
        <v>44937</v>
      </c>
      <c r="C4788" s="1" t="n">
        <v>45211</v>
      </c>
      <c r="D4788" t="inlineStr">
        <is>
          <t>ÖSTERGÖTLANDS LÄN</t>
        </is>
      </c>
      <c r="E4788" t="inlineStr">
        <is>
          <t>ÅTVIDABERG</t>
        </is>
      </c>
      <c r="G4788" t="n">
        <v>1.9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s="2" t="inlineStr"/>
    </row>
    <row r="4789" ht="15" customHeight="1">
      <c r="A4789" t="inlineStr">
        <is>
          <t>A 1623-2023</t>
        </is>
      </c>
      <c r="B4789" s="1" t="n">
        <v>44937</v>
      </c>
      <c r="C4789" s="1" t="n">
        <v>45211</v>
      </c>
      <c r="D4789" t="inlineStr">
        <is>
          <t>ÖSTERGÖTLANDS LÄN</t>
        </is>
      </c>
      <c r="E4789" t="inlineStr">
        <is>
          <t>MJÖLBY</t>
        </is>
      </c>
      <c r="G4789" t="n">
        <v>3.5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s="2" t="inlineStr"/>
    </row>
    <row r="4790" ht="15" customHeight="1">
      <c r="A4790" t="inlineStr">
        <is>
          <t>A 2016-2023</t>
        </is>
      </c>
      <c r="B4790" s="1" t="n">
        <v>44937</v>
      </c>
      <c r="C4790" s="1" t="n">
        <v>45211</v>
      </c>
      <c r="D4790" t="inlineStr">
        <is>
          <t>ÖSTERGÖTLANDS LÄN</t>
        </is>
      </c>
      <c r="E4790" t="inlineStr">
        <is>
          <t>KINDA</t>
        </is>
      </c>
      <c r="G4790" t="n">
        <v>2.9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s="2" t="inlineStr"/>
    </row>
    <row r="4791" ht="15" customHeight="1">
      <c r="A4791" t="inlineStr">
        <is>
          <t>A 1495-2023</t>
        </is>
      </c>
      <c r="B4791" s="1" t="n">
        <v>44937</v>
      </c>
      <c r="C4791" s="1" t="n">
        <v>45211</v>
      </c>
      <c r="D4791" t="inlineStr">
        <is>
          <t>ÖSTERGÖTLANDS LÄN</t>
        </is>
      </c>
      <c r="E4791" t="inlineStr">
        <is>
          <t>KINDA</t>
        </is>
      </c>
      <c r="G4791" t="n">
        <v>1.2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s="2" t="inlineStr"/>
    </row>
    <row r="4792" ht="15" customHeight="1">
      <c r="A4792" t="inlineStr">
        <is>
          <t>A 1627-2023</t>
        </is>
      </c>
      <c r="B4792" s="1" t="n">
        <v>44937</v>
      </c>
      <c r="C4792" s="1" t="n">
        <v>45211</v>
      </c>
      <c r="D4792" t="inlineStr">
        <is>
          <t>ÖSTERGÖTLANDS LÄN</t>
        </is>
      </c>
      <c r="E4792" t="inlineStr">
        <is>
          <t>LINKÖPING</t>
        </is>
      </c>
      <c r="G4792" t="n">
        <v>10.8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s="2" t="inlineStr"/>
    </row>
    <row r="4793" ht="15" customHeight="1">
      <c r="A4793" t="inlineStr">
        <is>
          <t>A 1710-2023</t>
        </is>
      </c>
      <c r="B4793" s="1" t="n">
        <v>44938</v>
      </c>
      <c r="C4793" s="1" t="n">
        <v>45211</v>
      </c>
      <c r="D4793" t="inlineStr">
        <is>
          <t>ÖSTERGÖTLANDS LÄN</t>
        </is>
      </c>
      <c r="E4793" t="inlineStr">
        <is>
          <t>ÅTVIDABERG</t>
        </is>
      </c>
      <c r="G4793" t="n">
        <v>2.5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s="2" t="inlineStr"/>
    </row>
    <row r="4794" ht="15" customHeight="1">
      <c r="A4794" t="inlineStr">
        <is>
          <t>A 2033-2023</t>
        </is>
      </c>
      <c r="B4794" s="1" t="n">
        <v>44939</v>
      </c>
      <c r="C4794" s="1" t="n">
        <v>45211</v>
      </c>
      <c r="D4794" t="inlineStr">
        <is>
          <t>ÖSTERGÖTLANDS LÄN</t>
        </is>
      </c>
      <c r="E4794" t="inlineStr">
        <is>
          <t>SÖDERKÖPING</t>
        </is>
      </c>
      <c r="G4794" t="n">
        <v>2.5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s="2" t="inlineStr"/>
    </row>
    <row r="4795" ht="15" customHeight="1">
      <c r="A4795" t="inlineStr">
        <is>
          <t>A 1914-2023</t>
        </is>
      </c>
      <c r="B4795" s="1" t="n">
        <v>44939</v>
      </c>
      <c r="C4795" s="1" t="n">
        <v>45211</v>
      </c>
      <c r="D4795" t="inlineStr">
        <is>
          <t>ÖSTERGÖTLANDS LÄN</t>
        </is>
      </c>
      <c r="E4795" t="inlineStr">
        <is>
          <t>NORRKÖPING</t>
        </is>
      </c>
      <c r="F4795" t="inlineStr">
        <is>
          <t>Naturvårdsverket</t>
        </is>
      </c>
      <c r="G4795" t="n">
        <v>2.6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s="2" t="inlineStr"/>
    </row>
    <row r="4796" ht="15" customHeight="1">
      <c r="A4796" t="inlineStr">
        <is>
          <t>A 2021-2023</t>
        </is>
      </c>
      <c r="B4796" s="1" t="n">
        <v>44939</v>
      </c>
      <c r="C4796" s="1" t="n">
        <v>45211</v>
      </c>
      <c r="D4796" t="inlineStr">
        <is>
          <t>ÖSTERGÖTLANDS LÄN</t>
        </is>
      </c>
      <c r="E4796" t="inlineStr">
        <is>
          <t>NORRKÖPING</t>
        </is>
      </c>
      <c r="G4796" t="n">
        <v>2.1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s="2" t="inlineStr"/>
    </row>
    <row r="4797" ht="15" customHeight="1">
      <c r="A4797" t="inlineStr">
        <is>
          <t>A 1913-2023</t>
        </is>
      </c>
      <c r="B4797" s="1" t="n">
        <v>44939</v>
      </c>
      <c r="C4797" s="1" t="n">
        <v>45211</v>
      </c>
      <c r="D4797" t="inlineStr">
        <is>
          <t>ÖSTERGÖTLANDS LÄN</t>
        </is>
      </c>
      <c r="E4797" t="inlineStr">
        <is>
          <t>FINSPÅNG</t>
        </is>
      </c>
      <c r="G4797" t="n">
        <v>1.2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s="2" t="inlineStr"/>
    </row>
    <row r="4798" ht="15" customHeight="1">
      <c r="A4798" t="inlineStr">
        <is>
          <t>A 1993-2023</t>
        </is>
      </c>
      <c r="B4798" s="1" t="n">
        <v>44939</v>
      </c>
      <c r="C4798" s="1" t="n">
        <v>45211</v>
      </c>
      <c r="D4798" t="inlineStr">
        <is>
          <t>ÖSTERGÖTLANDS LÄN</t>
        </is>
      </c>
      <c r="E4798" t="inlineStr">
        <is>
          <t>LINKÖPING</t>
        </is>
      </c>
      <c r="G4798" t="n">
        <v>3.7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s="2" t="inlineStr"/>
    </row>
    <row r="4799" ht="15" customHeight="1">
      <c r="A4799" t="inlineStr">
        <is>
          <t>A 2066-2023</t>
        </is>
      </c>
      <c r="B4799" s="1" t="n">
        <v>44939</v>
      </c>
      <c r="C4799" s="1" t="n">
        <v>45211</v>
      </c>
      <c r="D4799" t="inlineStr">
        <is>
          <t>ÖSTERGÖTLANDS LÄN</t>
        </is>
      </c>
      <c r="E4799" t="inlineStr">
        <is>
          <t>MJÖLBY</t>
        </is>
      </c>
      <c r="G4799" t="n">
        <v>5.4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s="2" t="inlineStr"/>
    </row>
    <row r="4800" ht="15" customHeight="1">
      <c r="A4800" t="inlineStr">
        <is>
          <t>A 2201-2023</t>
        </is>
      </c>
      <c r="B4800" s="1" t="n">
        <v>44942</v>
      </c>
      <c r="C4800" s="1" t="n">
        <v>45211</v>
      </c>
      <c r="D4800" t="inlineStr">
        <is>
          <t>ÖSTERGÖTLANDS LÄN</t>
        </is>
      </c>
      <c r="E4800" t="inlineStr">
        <is>
          <t>MOTALA</t>
        </is>
      </c>
      <c r="G4800" t="n">
        <v>3.7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s="2" t="inlineStr"/>
    </row>
    <row r="4801" ht="15" customHeight="1">
      <c r="A4801" t="inlineStr">
        <is>
          <t>A 2355-2023</t>
        </is>
      </c>
      <c r="B4801" s="1" t="n">
        <v>44942</v>
      </c>
      <c r="C4801" s="1" t="n">
        <v>45211</v>
      </c>
      <c r="D4801" t="inlineStr">
        <is>
          <t>ÖSTERGÖTLANDS LÄN</t>
        </is>
      </c>
      <c r="E4801" t="inlineStr">
        <is>
          <t>VALDEMARSVIK</t>
        </is>
      </c>
      <c r="G4801" t="n">
        <v>0.6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s="2" t="inlineStr"/>
    </row>
    <row r="4802" ht="15" customHeight="1">
      <c r="A4802" t="inlineStr">
        <is>
          <t>A 2176-2023</t>
        </is>
      </c>
      <c r="B4802" s="1" t="n">
        <v>44942</v>
      </c>
      <c r="C4802" s="1" t="n">
        <v>45211</v>
      </c>
      <c r="D4802" t="inlineStr">
        <is>
          <t>ÖSTERGÖTLANDS LÄN</t>
        </is>
      </c>
      <c r="E4802" t="inlineStr">
        <is>
          <t>ÅTVIDABERG</t>
        </is>
      </c>
      <c r="G4802" t="n">
        <v>1.2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s="2" t="inlineStr"/>
    </row>
    <row r="4803" ht="15" customHeight="1">
      <c r="A4803" t="inlineStr">
        <is>
          <t>A 2194-2023</t>
        </is>
      </c>
      <c r="B4803" s="1" t="n">
        <v>44942</v>
      </c>
      <c r="C4803" s="1" t="n">
        <v>45211</v>
      </c>
      <c r="D4803" t="inlineStr">
        <is>
          <t>ÖSTERGÖTLANDS LÄN</t>
        </is>
      </c>
      <c r="E4803" t="inlineStr">
        <is>
          <t>MOTALA</t>
        </is>
      </c>
      <c r="G4803" t="n">
        <v>3.9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s="2" t="inlineStr"/>
    </row>
    <row r="4804" ht="15" customHeight="1">
      <c r="A4804" t="inlineStr">
        <is>
          <t>A 2389-2023</t>
        </is>
      </c>
      <c r="B4804" s="1" t="n">
        <v>44942</v>
      </c>
      <c r="C4804" s="1" t="n">
        <v>45211</v>
      </c>
      <c r="D4804" t="inlineStr">
        <is>
          <t>ÖSTERGÖTLANDS LÄN</t>
        </is>
      </c>
      <c r="E4804" t="inlineStr">
        <is>
          <t>LINKÖPING</t>
        </is>
      </c>
      <c r="G4804" t="n">
        <v>3.3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s="2" t="inlineStr"/>
    </row>
    <row r="4805" ht="15" customHeight="1">
      <c r="A4805" t="inlineStr">
        <is>
          <t>A 2178-2023</t>
        </is>
      </c>
      <c r="B4805" s="1" t="n">
        <v>44942</v>
      </c>
      <c r="C4805" s="1" t="n">
        <v>45211</v>
      </c>
      <c r="D4805" t="inlineStr">
        <is>
          <t>ÖSTERGÖTLANDS LÄN</t>
        </is>
      </c>
      <c r="E4805" t="inlineStr">
        <is>
          <t>ÅTVIDABERG</t>
        </is>
      </c>
      <c r="G4805" t="n">
        <v>0.5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s="2" t="inlineStr"/>
    </row>
    <row r="4806" ht="15" customHeight="1">
      <c r="A4806" t="inlineStr">
        <is>
          <t>A 2198-2023</t>
        </is>
      </c>
      <c r="B4806" s="1" t="n">
        <v>44942</v>
      </c>
      <c r="C4806" s="1" t="n">
        <v>45211</v>
      </c>
      <c r="D4806" t="inlineStr">
        <is>
          <t>ÖSTERGÖTLANDS LÄN</t>
        </is>
      </c>
      <c r="E4806" t="inlineStr">
        <is>
          <t>BOXHOLM</t>
        </is>
      </c>
      <c r="G4806" t="n">
        <v>0.6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s="2" t="inlineStr"/>
    </row>
    <row r="4807" ht="15" customHeight="1">
      <c r="A4807" t="inlineStr">
        <is>
          <t>A 2644-2023</t>
        </is>
      </c>
      <c r="B4807" s="1" t="n">
        <v>44942</v>
      </c>
      <c r="C4807" s="1" t="n">
        <v>45211</v>
      </c>
      <c r="D4807" t="inlineStr">
        <is>
          <t>ÖSTERGÖTLANDS LÄN</t>
        </is>
      </c>
      <c r="E4807" t="inlineStr">
        <is>
          <t>SÖDERKÖPING</t>
        </is>
      </c>
      <c r="G4807" t="n">
        <v>7.5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s="2" t="inlineStr"/>
    </row>
    <row r="4808" ht="15" customHeight="1">
      <c r="A4808" t="inlineStr">
        <is>
          <t>A 2584-2023</t>
        </is>
      </c>
      <c r="B4808" s="1" t="n">
        <v>44943</v>
      </c>
      <c r="C4808" s="1" t="n">
        <v>45211</v>
      </c>
      <c r="D4808" t="inlineStr">
        <is>
          <t>ÖSTERGÖTLANDS LÄN</t>
        </is>
      </c>
      <c r="E4808" t="inlineStr">
        <is>
          <t>SÖDERKÖPING</t>
        </is>
      </c>
      <c r="G4808" t="n">
        <v>3.7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s="2" t="inlineStr"/>
    </row>
    <row r="4809" ht="15" customHeight="1">
      <c r="A4809" t="inlineStr">
        <is>
          <t>A 2479-2023</t>
        </is>
      </c>
      <c r="B4809" s="1" t="n">
        <v>44943</v>
      </c>
      <c r="C4809" s="1" t="n">
        <v>45211</v>
      </c>
      <c r="D4809" t="inlineStr">
        <is>
          <t>ÖSTERGÖTLANDS LÄN</t>
        </is>
      </c>
      <c r="E4809" t="inlineStr">
        <is>
          <t>FINSPÅNG</t>
        </is>
      </c>
      <c r="F4809" t="inlineStr">
        <is>
          <t>Holmen skog AB</t>
        </is>
      </c>
      <c r="G4809" t="n">
        <v>2.8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s="2" t="inlineStr"/>
    </row>
    <row r="4810" ht="15" customHeight="1">
      <c r="A4810" t="inlineStr">
        <is>
          <t>A 2559-2023</t>
        </is>
      </c>
      <c r="B4810" s="1" t="n">
        <v>44943</v>
      </c>
      <c r="C4810" s="1" t="n">
        <v>45211</v>
      </c>
      <c r="D4810" t="inlineStr">
        <is>
          <t>ÖSTERGÖTLANDS LÄN</t>
        </is>
      </c>
      <c r="E4810" t="inlineStr">
        <is>
          <t>VALDEMARSVIK</t>
        </is>
      </c>
      <c r="G4810" t="n">
        <v>1.4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s="2" t="inlineStr"/>
    </row>
    <row r="4811" ht="15" customHeight="1">
      <c r="A4811" t="inlineStr">
        <is>
          <t>A 2463-2023</t>
        </is>
      </c>
      <c r="B4811" s="1" t="n">
        <v>44943</v>
      </c>
      <c r="C4811" s="1" t="n">
        <v>45211</v>
      </c>
      <c r="D4811" t="inlineStr">
        <is>
          <t>ÖSTERGÖTLANDS LÄN</t>
        </is>
      </c>
      <c r="E4811" t="inlineStr">
        <is>
          <t>MJÖLBY</t>
        </is>
      </c>
      <c r="F4811" t="inlineStr">
        <is>
          <t>Kommuner</t>
        </is>
      </c>
      <c r="G4811" t="n">
        <v>5.1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s="2" t="inlineStr"/>
    </row>
    <row r="4812" ht="15" customHeight="1">
      <c r="A4812" t="inlineStr">
        <is>
          <t>A 2545-2023</t>
        </is>
      </c>
      <c r="B4812" s="1" t="n">
        <v>44943</v>
      </c>
      <c r="C4812" s="1" t="n">
        <v>45211</v>
      </c>
      <c r="D4812" t="inlineStr">
        <is>
          <t>ÖSTERGÖTLANDS LÄN</t>
        </is>
      </c>
      <c r="E4812" t="inlineStr">
        <is>
          <t>NORRKÖPING</t>
        </is>
      </c>
      <c r="F4812" t="inlineStr">
        <is>
          <t>Holmen skog AB</t>
        </is>
      </c>
      <c r="G4812" t="n">
        <v>0.6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s="2" t="inlineStr"/>
    </row>
    <row r="4813" ht="15" customHeight="1">
      <c r="A4813" t="inlineStr">
        <is>
          <t>A 2631-2023</t>
        </is>
      </c>
      <c r="B4813" s="1" t="n">
        <v>44944</v>
      </c>
      <c r="C4813" s="1" t="n">
        <v>45211</v>
      </c>
      <c r="D4813" t="inlineStr">
        <is>
          <t>ÖSTERGÖTLANDS LÄN</t>
        </is>
      </c>
      <c r="E4813" t="inlineStr">
        <is>
          <t>FINSPÅNG</t>
        </is>
      </c>
      <c r="F4813" t="inlineStr">
        <is>
          <t>Holmen skog AB</t>
        </is>
      </c>
      <c r="G4813" t="n">
        <v>17.2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s="2" t="inlineStr"/>
    </row>
    <row r="4814" ht="15" customHeight="1">
      <c r="A4814" t="inlineStr">
        <is>
          <t>A 2697-2023</t>
        </is>
      </c>
      <c r="B4814" s="1" t="n">
        <v>44944</v>
      </c>
      <c r="C4814" s="1" t="n">
        <v>45211</v>
      </c>
      <c r="D4814" t="inlineStr">
        <is>
          <t>ÖSTERGÖTLANDS LÄN</t>
        </is>
      </c>
      <c r="E4814" t="inlineStr">
        <is>
          <t>LINKÖPING</t>
        </is>
      </c>
      <c r="G4814" t="n">
        <v>0.6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s="2" t="inlineStr"/>
    </row>
    <row r="4815" ht="15" customHeight="1">
      <c r="A4815" t="inlineStr">
        <is>
          <t>A 2915-2023</t>
        </is>
      </c>
      <c r="B4815" s="1" t="n">
        <v>44944</v>
      </c>
      <c r="C4815" s="1" t="n">
        <v>45211</v>
      </c>
      <c r="D4815" t="inlineStr">
        <is>
          <t>ÖSTERGÖTLANDS LÄN</t>
        </is>
      </c>
      <c r="E4815" t="inlineStr">
        <is>
          <t>YDRE</t>
        </is>
      </c>
      <c r="G4815" t="n">
        <v>3.4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s="2" t="inlineStr"/>
    </row>
    <row r="4816" ht="15" customHeight="1">
      <c r="A4816" t="inlineStr">
        <is>
          <t>A 2826-2023</t>
        </is>
      </c>
      <c r="B4816" s="1" t="n">
        <v>44945</v>
      </c>
      <c r="C4816" s="1" t="n">
        <v>45211</v>
      </c>
      <c r="D4816" t="inlineStr">
        <is>
          <t>ÖSTERGÖTLANDS LÄN</t>
        </is>
      </c>
      <c r="E4816" t="inlineStr">
        <is>
          <t>VALDEMARSVIK</t>
        </is>
      </c>
      <c r="G4816" t="n">
        <v>1.1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s="2" t="inlineStr"/>
    </row>
    <row r="4817" ht="15" customHeight="1">
      <c r="A4817" t="inlineStr">
        <is>
          <t>A 2956-2023</t>
        </is>
      </c>
      <c r="B4817" s="1" t="n">
        <v>44945</v>
      </c>
      <c r="C4817" s="1" t="n">
        <v>45211</v>
      </c>
      <c r="D4817" t="inlineStr">
        <is>
          <t>ÖSTERGÖTLANDS LÄN</t>
        </is>
      </c>
      <c r="E4817" t="inlineStr">
        <is>
          <t>SÖDERKÖPING</t>
        </is>
      </c>
      <c r="G4817" t="n">
        <v>1.8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s="2" t="inlineStr"/>
    </row>
    <row r="4818" ht="15" customHeight="1">
      <c r="A4818" t="inlineStr">
        <is>
          <t>A 3011-2023</t>
        </is>
      </c>
      <c r="B4818" s="1" t="n">
        <v>44945</v>
      </c>
      <c r="C4818" s="1" t="n">
        <v>45211</v>
      </c>
      <c r="D4818" t="inlineStr">
        <is>
          <t>ÖSTERGÖTLANDS LÄN</t>
        </is>
      </c>
      <c r="E4818" t="inlineStr">
        <is>
          <t>LINKÖPING</t>
        </is>
      </c>
      <c r="G4818" t="n">
        <v>0.6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s="2" t="inlineStr"/>
    </row>
    <row r="4819" ht="15" customHeight="1">
      <c r="A4819" t="inlineStr">
        <is>
          <t>A 3007-2023</t>
        </is>
      </c>
      <c r="B4819" s="1" t="n">
        <v>44945</v>
      </c>
      <c r="C4819" s="1" t="n">
        <v>45211</v>
      </c>
      <c r="D4819" t="inlineStr">
        <is>
          <t>ÖSTERGÖTLANDS LÄN</t>
        </is>
      </c>
      <c r="E4819" t="inlineStr">
        <is>
          <t>LINKÖPING</t>
        </is>
      </c>
      <c r="G4819" t="n">
        <v>2.6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s="2" t="inlineStr"/>
    </row>
    <row r="4820" ht="15" customHeight="1">
      <c r="A4820" t="inlineStr">
        <is>
          <t>A 2921-2023</t>
        </is>
      </c>
      <c r="B4820" s="1" t="n">
        <v>44945</v>
      </c>
      <c r="C4820" s="1" t="n">
        <v>45211</v>
      </c>
      <c r="D4820" t="inlineStr">
        <is>
          <t>ÖSTERGÖTLANDS LÄN</t>
        </is>
      </c>
      <c r="E4820" t="inlineStr">
        <is>
          <t>SÖDERKÖPING</t>
        </is>
      </c>
      <c r="G4820" t="n">
        <v>2.4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s="2" t="inlineStr"/>
    </row>
    <row r="4821" ht="15" customHeight="1">
      <c r="A4821" t="inlineStr">
        <is>
          <t>A 3006-2023</t>
        </is>
      </c>
      <c r="B4821" s="1" t="n">
        <v>44945</v>
      </c>
      <c r="C4821" s="1" t="n">
        <v>45211</v>
      </c>
      <c r="D4821" t="inlineStr">
        <is>
          <t>ÖSTERGÖTLANDS LÄN</t>
        </is>
      </c>
      <c r="E4821" t="inlineStr">
        <is>
          <t>LINKÖPING</t>
        </is>
      </c>
      <c r="G4821" t="n">
        <v>4.1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s="2" t="inlineStr"/>
    </row>
    <row r="4822" ht="15" customHeight="1">
      <c r="A4822" t="inlineStr">
        <is>
          <t>A 3077-2023</t>
        </is>
      </c>
      <c r="B4822" s="1" t="n">
        <v>44946</v>
      </c>
      <c r="C4822" s="1" t="n">
        <v>45211</v>
      </c>
      <c r="D4822" t="inlineStr">
        <is>
          <t>ÖSTERGÖTLANDS LÄN</t>
        </is>
      </c>
      <c r="E4822" t="inlineStr">
        <is>
          <t>LINKÖPING</t>
        </is>
      </c>
      <c r="G4822" t="n">
        <v>2.1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s="2" t="inlineStr"/>
    </row>
    <row r="4823" ht="15" customHeight="1">
      <c r="A4823" t="inlineStr">
        <is>
          <t>A 3110-2023</t>
        </is>
      </c>
      <c r="B4823" s="1" t="n">
        <v>44946</v>
      </c>
      <c r="C4823" s="1" t="n">
        <v>45211</v>
      </c>
      <c r="D4823" t="inlineStr">
        <is>
          <t>ÖSTERGÖTLANDS LÄN</t>
        </is>
      </c>
      <c r="E4823" t="inlineStr">
        <is>
          <t>SÖDERKÖPING</t>
        </is>
      </c>
      <c r="G4823" t="n">
        <v>18.8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s="2" t="inlineStr"/>
    </row>
    <row r="4824" ht="15" customHeight="1">
      <c r="A4824" t="inlineStr">
        <is>
          <t>A 3084-2023</t>
        </is>
      </c>
      <c r="B4824" s="1" t="n">
        <v>44946</v>
      </c>
      <c r="C4824" s="1" t="n">
        <v>45211</v>
      </c>
      <c r="D4824" t="inlineStr">
        <is>
          <t>ÖSTERGÖTLANDS LÄN</t>
        </is>
      </c>
      <c r="E4824" t="inlineStr">
        <is>
          <t>SÖDERKÖPING</t>
        </is>
      </c>
      <c r="G4824" t="n">
        <v>5.5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s="2" t="inlineStr"/>
    </row>
    <row r="4825" ht="15" customHeight="1">
      <c r="A4825" t="inlineStr">
        <is>
          <t>A 3059-2023</t>
        </is>
      </c>
      <c r="B4825" s="1" t="n">
        <v>44946</v>
      </c>
      <c r="C4825" s="1" t="n">
        <v>45211</v>
      </c>
      <c r="D4825" t="inlineStr">
        <is>
          <t>ÖSTERGÖTLANDS LÄN</t>
        </is>
      </c>
      <c r="E4825" t="inlineStr">
        <is>
          <t>FINSPÅNG</t>
        </is>
      </c>
      <c r="G4825" t="n">
        <v>0.9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s="2" t="inlineStr"/>
    </row>
    <row r="4826" ht="15" customHeight="1">
      <c r="A4826" t="inlineStr">
        <is>
          <t>A 3107-2023</t>
        </is>
      </c>
      <c r="B4826" s="1" t="n">
        <v>44946</v>
      </c>
      <c r="C4826" s="1" t="n">
        <v>45211</v>
      </c>
      <c r="D4826" t="inlineStr">
        <is>
          <t>ÖSTERGÖTLANDS LÄN</t>
        </is>
      </c>
      <c r="E4826" t="inlineStr">
        <is>
          <t>FINSPÅNG</t>
        </is>
      </c>
      <c r="F4826" t="inlineStr">
        <is>
          <t>Holmen skog AB</t>
        </is>
      </c>
      <c r="G4826" t="n">
        <v>0.8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s="2" t="inlineStr"/>
    </row>
    <row r="4827" ht="15" customHeight="1">
      <c r="A4827" t="inlineStr">
        <is>
          <t>A 3153-2023</t>
        </is>
      </c>
      <c r="B4827" s="1" t="n">
        <v>44946</v>
      </c>
      <c r="C4827" s="1" t="n">
        <v>45211</v>
      </c>
      <c r="D4827" t="inlineStr">
        <is>
          <t>ÖSTERGÖTLANDS LÄN</t>
        </is>
      </c>
      <c r="E4827" t="inlineStr">
        <is>
          <t>SÖDERKÖPING</t>
        </is>
      </c>
      <c r="G4827" t="n">
        <v>0.5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s="2" t="inlineStr"/>
    </row>
    <row r="4828" ht="15" customHeight="1">
      <c r="A4828" t="inlineStr">
        <is>
          <t>A 3271-2023</t>
        </is>
      </c>
      <c r="B4828" s="1" t="n">
        <v>44949</v>
      </c>
      <c r="C4828" s="1" t="n">
        <v>45211</v>
      </c>
      <c r="D4828" t="inlineStr">
        <is>
          <t>ÖSTERGÖTLANDS LÄN</t>
        </is>
      </c>
      <c r="E4828" t="inlineStr">
        <is>
          <t>VALDEMARSVIK</t>
        </is>
      </c>
      <c r="G4828" t="n">
        <v>2.3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s="2" t="inlineStr"/>
    </row>
    <row r="4829" ht="15" customHeight="1">
      <c r="A4829" t="inlineStr">
        <is>
          <t>A 3474-2023</t>
        </is>
      </c>
      <c r="B4829" s="1" t="n">
        <v>44949</v>
      </c>
      <c r="C4829" s="1" t="n">
        <v>45211</v>
      </c>
      <c r="D4829" t="inlineStr">
        <is>
          <t>ÖSTERGÖTLANDS LÄN</t>
        </is>
      </c>
      <c r="E4829" t="inlineStr">
        <is>
          <t>KINDA</t>
        </is>
      </c>
      <c r="G4829" t="n">
        <v>2.5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s="2" t="inlineStr"/>
    </row>
    <row r="4830" ht="15" customHeight="1">
      <c r="A4830" t="inlineStr">
        <is>
          <t>A 3345-2023</t>
        </is>
      </c>
      <c r="B4830" s="1" t="n">
        <v>44949</v>
      </c>
      <c r="C4830" s="1" t="n">
        <v>45211</v>
      </c>
      <c r="D4830" t="inlineStr">
        <is>
          <t>ÖSTERGÖTLANDS LÄN</t>
        </is>
      </c>
      <c r="E4830" t="inlineStr">
        <is>
          <t>MOTALA</t>
        </is>
      </c>
      <c r="G4830" t="n">
        <v>0.7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s="2" t="inlineStr"/>
    </row>
    <row r="4831" ht="15" customHeight="1">
      <c r="A4831" t="inlineStr">
        <is>
          <t>A 3374-2023</t>
        </is>
      </c>
      <c r="B4831" s="1" t="n">
        <v>44949</v>
      </c>
      <c r="C4831" s="1" t="n">
        <v>45211</v>
      </c>
      <c r="D4831" t="inlineStr">
        <is>
          <t>ÖSTERGÖTLANDS LÄN</t>
        </is>
      </c>
      <c r="E4831" t="inlineStr">
        <is>
          <t>LINKÖPING</t>
        </is>
      </c>
      <c r="G4831" t="n">
        <v>0.6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s="2" t="inlineStr"/>
    </row>
    <row r="4832" ht="15" customHeight="1">
      <c r="A4832" t="inlineStr">
        <is>
          <t>A 3388-2023</t>
        </is>
      </c>
      <c r="B4832" s="1" t="n">
        <v>44949</v>
      </c>
      <c r="C4832" s="1" t="n">
        <v>45211</v>
      </c>
      <c r="D4832" t="inlineStr">
        <is>
          <t>ÖSTERGÖTLANDS LÄN</t>
        </is>
      </c>
      <c r="E4832" t="inlineStr">
        <is>
          <t>ÅTVIDABERG</t>
        </is>
      </c>
      <c r="G4832" t="n">
        <v>0.6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s="2" t="inlineStr"/>
    </row>
    <row r="4833" ht="15" customHeight="1">
      <c r="A4833" t="inlineStr">
        <is>
          <t>A 3432-2023</t>
        </is>
      </c>
      <c r="B4833" s="1" t="n">
        <v>44949</v>
      </c>
      <c r="C4833" s="1" t="n">
        <v>45211</v>
      </c>
      <c r="D4833" t="inlineStr">
        <is>
          <t>ÖSTERGÖTLANDS LÄN</t>
        </is>
      </c>
      <c r="E4833" t="inlineStr">
        <is>
          <t>LINKÖPING</t>
        </is>
      </c>
      <c r="G4833" t="n">
        <v>1.9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s="2" t="inlineStr"/>
    </row>
    <row r="4834" ht="15" customHeight="1">
      <c r="A4834" t="inlineStr">
        <is>
          <t>A 3267-2023</t>
        </is>
      </c>
      <c r="B4834" s="1" t="n">
        <v>44949</v>
      </c>
      <c r="C4834" s="1" t="n">
        <v>45211</v>
      </c>
      <c r="D4834" t="inlineStr">
        <is>
          <t>ÖSTERGÖTLANDS LÄN</t>
        </is>
      </c>
      <c r="E4834" t="inlineStr">
        <is>
          <t>VALDEMARSVIK</t>
        </is>
      </c>
      <c r="G4834" t="n">
        <v>0.6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s="2" t="inlineStr"/>
    </row>
    <row r="4835" ht="15" customHeight="1">
      <c r="A4835" t="inlineStr">
        <is>
          <t>A 3395-2023</t>
        </is>
      </c>
      <c r="B4835" s="1" t="n">
        <v>44949</v>
      </c>
      <c r="C4835" s="1" t="n">
        <v>45211</v>
      </c>
      <c r="D4835" t="inlineStr">
        <is>
          <t>ÖSTERGÖTLANDS LÄN</t>
        </is>
      </c>
      <c r="E4835" t="inlineStr">
        <is>
          <t>LINKÖPING</t>
        </is>
      </c>
      <c r="G4835" t="n">
        <v>2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s="2" t="inlineStr"/>
    </row>
    <row r="4836" ht="15" customHeight="1">
      <c r="A4836" t="inlineStr">
        <is>
          <t>A 3479-2023</t>
        </is>
      </c>
      <c r="B4836" s="1" t="n">
        <v>44949</v>
      </c>
      <c r="C4836" s="1" t="n">
        <v>45211</v>
      </c>
      <c r="D4836" t="inlineStr">
        <is>
          <t>ÖSTERGÖTLANDS LÄN</t>
        </is>
      </c>
      <c r="E4836" t="inlineStr">
        <is>
          <t>LINKÖPING</t>
        </is>
      </c>
      <c r="G4836" t="n">
        <v>3.8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s="2" t="inlineStr"/>
    </row>
    <row r="4837" ht="15" customHeight="1">
      <c r="A4837" t="inlineStr">
        <is>
          <t>A 3776-2023</t>
        </is>
      </c>
      <c r="B4837" s="1" t="n">
        <v>44949</v>
      </c>
      <c r="C4837" s="1" t="n">
        <v>45211</v>
      </c>
      <c r="D4837" t="inlineStr">
        <is>
          <t>ÖSTERGÖTLANDS LÄN</t>
        </is>
      </c>
      <c r="E4837" t="inlineStr">
        <is>
          <t>FINSPÅNG</t>
        </is>
      </c>
      <c r="G4837" t="n">
        <v>2.1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s="2" t="inlineStr"/>
    </row>
    <row r="4838" ht="15" customHeight="1">
      <c r="A4838" t="inlineStr">
        <is>
          <t>A 3606-2023</t>
        </is>
      </c>
      <c r="B4838" s="1" t="n">
        <v>44950</v>
      </c>
      <c r="C4838" s="1" t="n">
        <v>45211</v>
      </c>
      <c r="D4838" t="inlineStr">
        <is>
          <t>ÖSTERGÖTLANDS LÄN</t>
        </is>
      </c>
      <c r="E4838" t="inlineStr">
        <is>
          <t>NORRKÖPING</t>
        </is>
      </c>
      <c r="G4838" t="n">
        <v>11.8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s="2" t="inlineStr"/>
    </row>
    <row r="4839" ht="15" customHeight="1">
      <c r="A4839" t="inlineStr">
        <is>
          <t>A 3650-2023</t>
        </is>
      </c>
      <c r="B4839" s="1" t="n">
        <v>44950</v>
      </c>
      <c r="C4839" s="1" t="n">
        <v>45211</v>
      </c>
      <c r="D4839" t="inlineStr">
        <is>
          <t>ÖSTERGÖTLANDS LÄN</t>
        </is>
      </c>
      <c r="E4839" t="inlineStr">
        <is>
          <t>NORRKÖPING</t>
        </is>
      </c>
      <c r="G4839" t="n">
        <v>1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s="2" t="inlineStr"/>
    </row>
    <row r="4840" ht="15" customHeight="1">
      <c r="A4840" t="inlineStr">
        <is>
          <t>A 3568-2023</t>
        </is>
      </c>
      <c r="B4840" s="1" t="n">
        <v>44950</v>
      </c>
      <c r="C4840" s="1" t="n">
        <v>45211</v>
      </c>
      <c r="D4840" t="inlineStr">
        <is>
          <t>ÖSTERGÖTLANDS LÄN</t>
        </is>
      </c>
      <c r="E4840" t="inlineStr">
        <is>
          <t>FINSPÅNG</t>
        </is>
      </c>
      <c r="F4840" t="inlineStr">
        <is>
          <t>Holmen skog AB</t>
        </is>
      </c>
      <c r="G4840" t="n">
        <v>0.6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s="2" t="inlineStr"/>
    </row>
    <row r="4841" ht="15" customHeight="1">
      <c r="A4841" t="inlineStr">
        <is>
          <t>A 3930-2023</t>
        </is>
      </c>
      <c r="B4841" s="1" t="n">
        <v>44950</v>
      </c>
      <c r="C4841" s="1" t="n">
        <v>45211</v>
      </c>
      <c r="D4841" t="inlineStr">
        <is>
          <t>ÖSTERGÖTLANDS LÄN</t>
        </is>
      </c>
      <c r="E4841" t="inlineStr">
        <is>
          <t>SÖDERKÖPING</t>
        </is>
      </c>
      <c r="G4841" t="n">
        <v>6.5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s="2" t="inlineStr"/>
    </row>
    <row r="4842" ht="15" customHeight="1">
      <c r="A4842" t="inlineStr">
        <is>
          <t>A 3654-2023</t>
        </is>
      </c>
      <c r="B4842" s="1" t="n">
        <v>44950</v>
      </c>
      <c r="C4842" s="1" t="n">
        <v>45211</v>
      </c>
      <c r="D4842" t="inlineStr">
        <is>
          <t>ÖSTERGÖTLANDS LÄN</t>
        </is>
      </c>
      <c r="E4842" t="inlineStr">
        <is>
          <t>MJÖLBY</t>
        </is>
      </c>
      <c r="F4842" t="inlineStr">
        <is>
          <t>Kyrkan</t>
        </is>
      </c>
      <c r="G4842" t="n">
        <v>6.8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s="2" t="inlineStr"/>
    </row>
    <row r="4843" ht="15" customHeight="1">
      <c r="A4843" t="inlineStr">
        <is>
          <t>A 3943-2023</t>
        </is>
      </c>
      <c r="B4843" s="1" t="n">
        <v>44950</v>
      </c>
      <c r="C4843" s="1" t="n">
        <v>45211</v>
      </c>
      <c r="D4843" t="inlineStr">
        <is>
          <t>ÖSTERGÖTLANDS LÄN</t>
        </is>
      </c>
      <c r="E4843" t="inlineStr">
        <is>
          <t>SÖDERKÖPING</t>
        </is>
      </c>
      <c r="G4843" t="n">
        <v>5.4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s="2" t="inlineStr"/>
    </row>
    <row r="4844" ht="15" customHeight="1">
      <c r="A4844" t="inlineStr">
        <is>
          <t>A 3746-2023</t>
        </is>
      </c>
      <c r="B4844" s="1" t="n">
        <v>44951</v>
      </c>
      <c r="C4844" s="1" t="n">
        <v>45211</v>
      </c>
      <c r="D4844" t="inlineStr">
        <is>
          <t>ÖSTERGÖTLANDS LÄN</t>
        </is>
      </c>
      <c r="E4844" t="inlineStr">
        <is>
          <t>FINSPÅNG</t>
        </is>
      </c>
      <c r="F4844" t="inlineStr">
        <is>
          <t>Holmen skog AB</t>
        </is>
      </c>
      <c r="G4844" t="n">
        <v>0.9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s="2" t="inlineStr"/>
    </row>
    <row r="4845" ht="15" customHeight="1">
      <c r="A4845" t="inlineStr">
        <is>
          <t>A 3762-2023</t>
        </is>
      </c>
      <c r="B4845" s="1" t="n">
        <v>44951</v>
      </c>
      <c r="C4845" s="1" t="n">
        <v>45211</v>
      </c>
      <c r="D4845" t="inlineStr">
        <is>
          <t>ÖSTERGÖTLANDS LÄN</t>
        </is>
      </c>
      <c r="E4845" t="inlineStr">
        <is>
          <t>FINSPÅNG</t>
        </is>
      </c>
      <c r="F4845" t="inlineStr">
        <is>
          <t>Holmen skog AB</t>
        </is>
      </c>
      <c r="G4845" t="n">
        <v>1.1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s="2" t="inlineStr"/>
    </row>
    <row r="4846" ht="15" customHeight="1">
      <c r="A4846" t="inlineStr">
        <is>
          <t>A 3814-2023</t>
        </is>
      </c>
      <c r="B4846" s="1" t="n">
        <v>44951</v>
      </c>
      <c r="C4846" s="1" t="n">
        <v>45211</v>
      </c>
      <c r="D4846" t="inlineStr">
        <is>
          <t>ÖSTERGÖTLANDS LÄN</t>
        </is>
      </c>
      <c r="E4846" t="inlineStr">
        <is>
          <t>KINDA</t>
        </is>
      </c>
      <c r="G4846" t="n">
        <v>1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s="2" t="inlineStr"/>
    </row>
    <row r="4847" ht="15" customHeight="1">
      <c r="A4847" t="inlineStr">
        <is>
          <t>A 4163-2023</t>
        </is>
      </c>
      <c r="B4847" s="1" t="n">
        <v>44951</v>
      </c>
      <c r="C4847" s="1" t="n">
        <v>45211</v>
      </c>
      <c r="D4847" t="inlineStr">
        <is>
          <t>ÖSTERGÖTLANDS LÄN</t>
        </is>
      </c>
      <c r="E4847" t="inlineStr">
        <is>
          <t>LINKÖPING</t>
        </is>
      </c>
      <c r="G4847" t="n">
        <v>5.9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s="2" t="inlineStr"/>
    </row>
    <row r="4848" ht="15" customHeight="1">
      <c r="A4848" t="inlineStr">
        <is>
          <t>A 3753-2023</t>
        </is>
      </c>
      <c r="B4848" s="1" t="n">
        <v>44951</v>
      </c>
      <c r="C4848" s="1" t="n">
        <v>45211</v>
      </c>
      <c r="D4848" t="inlineStr">
        <is>
          <t>ÖSTERGÖTLANDS LÄN</t>
        </is>
      </c>
      <c r="E4848" t="inlineStr">
        <is>
          <t>FINSPÅNG</t>
        </is>
      </c>
      <c r="F4848" t="inlineStr">
        <is>
          <t>Holmen skog AB</t>
        </is>
      </c>
      <c r="G4848" t="n">
        <v>1.9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s="2" t="inlineStr"/>
    </row>
    <row r="4849" ht="15" customHeight="1">
      <c r="A4849" t="inlineStr">
        <is>
          <t>A 3772-2023</t>
        </is>
      </c>
      <c r="B4849" s="1" t="n">
        <v>44951</v>
      </c>
      <c r="C4849" s="1" t="n">
        <v>45211</v>
      </c>
      <c r="D4849" t="inlineStr">
        <is>
          <t>ÖSTERGÖTLANDS LÄN</t>
        </is>
      </c>
      <c r="E4849" t="inlineStr">
        <is>
          <t>FINSPÅNG</t>
        </is>
      </c>
      <c r="F4849" t="inlineStr">
        <is>
          <t>Holmen skog AB</t>
        </is>
      </c>
      <c r="G4849" t="n">
        <v>0.8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s="2" t="inlineStr"/>
    </row>
    <row r="4850" ht="15" customHeight="1">
      <c r="A4850" t="inlineStr">
        <is>
          <t>A 4161-2023</t>
        </is>
      </c>
      <c r="B4850" s="1" t="n">
        <v>44951</v>
      </c>
      <c r="C4850" s="1" t="n">
        <v>45211</v>
      </c>
      <c r="D4850" t="inlineStr">
        <is>
          <t>ÖSTERGÖTLANDS LÄN</t>
        </is>
      </c>
      <c r="E4850" t="inlineStr">
        <is>
          <t>LINKÖPING</t>
        </is>
      </c>
      <c r="G4850" t="n">
        <v>0.7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s="2" t="inlineStr"/>
    </row>
    <row r="4851" ht="15" customHeight="1">
      <c r="A4851" t="inlineStr">
        <is>
          <t>A 3911-2023</t>
        </is>
      </c>
      <c r="B4851" s="1" t="n">
        <v>44952</v>
      </c>
      <c r="C4851" s="1" t="n">
        <v>45211</v>
      </c>
      <c r="D4851" t="inlineStr">
        <is>
          <t>ÖSTERGÖTLANDS LÄN</t>
        </is>
      </c>
      <c r="E4851" t="inlineStr">
        <is>
          <t>KINDA</t>
        </is>
      </c>
      <c r="G4851" t="n">
        <v>1.4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s="2" t="inlineStr"/>
    </row>
    <row r="4852" ht="15" customHeight="1">
      <c r="A4852" t="inlineStr">
        <is>
          <t>A 3972-2023</t>
        </is>
      </c>
      <c r="B4852" s="1" t="n">
        <v>44952</v>
      </c>
      <c r="C4852" s="1" t="n">
        <v>45211</v>
      </c>
      <c r="D4852" t="inlineStr">
        <is>
          <t>ÖSTERGÖTLANDS LÄN</t>
        </is>
      </c>
      <c r="E4852" t="inlineStr">
        <is>
          <t>KINDA</t>
        </is>
      </c>
      <c r="G4852" t="n">
        <v>1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s="2" t="inlineStr"/>
    </row>
    <row r="4853" ht="15" customHeight="1">
      <c r="A4853" t="inlineStr">
        <is>
          <t>A 4658-2023</t>
        </is>
      </c>
      <c r="B4853" s="1" t="n">
        <v>44952</v>
      </c>
      <c r="C4853" s="1" t="n">
        <v>45211</v>
      </c>
      <c r="D4853" t="inlineStr">
        <is>
          <t>ÖSTERGÖTLANDS LÄN</t>
        </is>
      </c>
      <c r="E4853" t="inlineStr">
        <is>
          <t>KINDA</t>
        </is>
      </c>
      <c r="G4853" t="n">
        <v>1.7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s="2" t="inlineStr"/>
    </row>
    <row r="4854" ht="15" customHeight="1">
      <c r="A4854" t="inlineStr">
        <is>
          <t>A 3908-2023</t>
        </is>
      </c>
      <c r="B4854" s="1" t="n">
        <v>44952</v>
      </c>
      <c r="C4854" s="1" t="n">
        <v>45211</v>
      </c>
      <c r="D4854" t="inlineStr">
        <is>
          <t>ÖSTERGÖTLANDS LÄN</t>
        </is>
      </c>
      <c r="E4854" t="inlineStr">
        <is>
          <t>KINDA</t>
        </is>
      </c>
      <c r="G4854" t="n">
        <v>2.3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s="2" t="inlineStr"/>
    </row>
    <row r="4855" ht="15" customHeight="1">
      <c r="A4855" t="inlineStr">
        <is>
          <t>A 3905-2023</t>
        </is>
      </c>
      <c r="B4855" s="1" t="n">
        <v>44952</v>
      </c>
      <c r="C4855" s="1" t="n">
        <v>45211</v>
      </c>
      <c r="D4855" t="inlineStr">
        <is>
          <t>ÖSTERGÖTLANDS LÄN</t>
        </is>
      </c>
      <c r="E4855" t="inlineStr">
        <is>
          <t>KINDA</t>
        </is>
      </c>
      <c r="G4855" t="n">
        <v>2.7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s="2" t="inlineStr"/>
    </row>
    <row r="4856" ht="15" customHeight="1">
      <c r="A4856" t="inlineStr">
        <is>
          <t>A 4047-2023</t>
        </is>
      </c>
      <c r="B4856" s="1" t="n">
        <v>44952</v>
      </c>
      <c r="C4856" s="1" t="n">
        <v>45211</v>
      </c>
      <c r="D4856" t="inlineStr">
        <is>
          <t>ÖSTERGÖTLANDS LÄN</t>
        </is>
      </c>
      <c r="E4856" t="inlineStr">
        <is>
          <t>VALDEMARSVIK</t>
        </is>
      </c>
      <c r="G4856" t="n">
        <v>6.5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s="2" t="inlineStr"/>
    </row>
    <row r="4857" ht="15" customHeight="1">
      <c r="A4857" t="inlineStr">
        <is>
          <t>A 4089-2023</t>
        </is>
      </c>
      <c r="B4857" s="1" t="n">
        <v>44952</v>
      </c>
      <c r="C4857" s="1" t="n">
        <v>45211</v>
      </c>
      <c r="D4857" t="inlineStr">
        <is>
          <t>ÖSTERGÖTLANDS LÄN</t>
        </is>
      </c>
      <c r="E4857" t="inlineStr">
        <is>
          <t>ÅTVIDABERG</t>
        </is>
      </c>
      <c r="G4857" t="n">
        <v>1.5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s="2" t="inlineStr"/>
    </row>
    <row r="4858" ht="15" customHeight="1">
      <c r="A4858" t="inlineStr">
        <is>
          <t>A 4094-2023</t>
        </is>
      </c>
      <c r="B4858" s="1" t="n">
        <v>44952</v>
      </c>
      <c r="C4858" s="1" t="n">
        <v>45211</v>
      </c>
      <c r="D4858" t="inlineStr">
        <is>
          <t>ÖSTERGÖTLANDS LÄN</t>
        </is>
      </c>
      <c r="E4858" t="inlineStr">
        <is>
          <t>ÅTVIDABERG</t>
        </is>
      </c>
      <c r="G4858" t="n">
        <v>1.9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s="2" t="inlineStr"/>
    </row>
    <row r="4859" ht="15" customHeight="1">
      <c r="A4859" t="inlineStr">
        <is>
          <t>A 4659-2023</t>
        </is>
      </c>
      <c r="B4859" s="1" t="n">
        <v>44952</v>
      </c>
      <c r="C4859" s="1" t="n">
        <v>45211</v>
      </c>
      <c r="D4859" t="inlineStr">
        <is>
          <t>ÖSTERGÖTLANDS LÄN</t>
        </is>
      </c>
      <c r="E4859" t="inlineStr">
        <is>
          <t>KINDA</t>
        </is>
      </c>
      <c r="G4859" t="n">
        <v>1.1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s="2" t="inlineStr"/>
    </row>
    <row r="4860" ht="15" customHeight="1">
      <c r="A4860" t="inlineStr">
        <is>
          <t>A 3910-2023</t>
        </is>
      </c>
      <c r="B4860" s="1" t="n">
        <v>44952</v>
      </c>
      <c r="C4860" s="1" t="n">
        <v>45211</v>
      </c>
      <c r="D4860" t="inlineStr">
        <is>
          <t>ÖSTERGÖTLANDS LÄN</t>
        </is>
      </c>
      <c r="E4860" t="inlineStr">
        <is>
          <t>KINDA</t>
        </is>
      </c>
      <c r="G4860" t="n">
        <v>2.7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s="2" t="inlineStr"/>
    </row>
    <row r="4861" ht="15" customHeight="1">
      <c r="A4861" t="inlineStr">
        <is>
          <t>A 4091-2023</t>
        </is>
      </c>
      <c r="B4861" s="1" t="n">
        <v>44952</v>
      </c>
      <c r="C4861" s="1" t="n">
        <v>45211</v>
      </c>
      <c r="D4861" t="inlineStr">
        <is>
          <t>ÖSTERGÖTLANDS LÄN</t>
        </is>
      </c>
      <c r="E4861" t="inlineStr">
        <is>
          <t>ÅTVIDABERG</t>
        </is>
      </c>
      <c r="G4861" t="n">
        <v>2.9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s="2" t="inlineStr"/>
    </row>
    <row r="4862" ht="15" customHeight="1">
      <c r="A4862" t="inlineStr">
        <is>
          <t>A 4269-2023</t>
        </is>
      </c>
      <c r="B4862" s="1" t="n">
        <v>44953</v>
      </c>
      <c r="C4862" s="1" t="n">
        <v>45211</v>
      </c>
      <c r="D4862" t="inlineStr">
        <is>
          <t>ÖSTERGÖTLANDS LÄN</t>
        </is>
      </c>
      <c r="E4862" t="inlineStr">
        <is>
          <t>YDRE</t>
        </is>
      </c>
      <c r="G4862" t="n">
        <v>9.800000000000001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s="2" t="inlineStr"/>
    </row>
    <row r="4863" ht="15" customHeight="1">
      <c r="A4863" t="inlineStr">
        <is>
          <t>A 4298-2023</t>
        </is>
      </c>
      <c r="B4863" s="1" t="n">
        <v>44953</v>
      </c>
      <c r="C4863" s="1" t="n">
        <v>45211</v>
      </c>
      <c r="D4863" t="inlineStr">
        <is>
          <t>ÖSTERGÖTLANDS LÄN</t>
        </is>
      </c>
      <c r="E4863" t="inlineStr">
        <is>
          <t>LINKÖPING</t>
        </is>
      </c>
      <c r="G4863" t="n">
        <v>2.8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s="2" t="inlineStr"/>
    </row>
    <row r="4864" ht="15" customHeight="1">
      <c r="A4864" t="inlineStr">
        <is>
          <t>A 4270-2023</t>
        </is>
      </c>
      <c r="B4864" s="1" t="n">
        <v>44953</v>
      </c>
      <c r="C4864" s="1" t="n">
        <v>45211</v>
      </c>
      <c r="D4864" t="inlineStr">
        <is>
          <t>ÖSTERGÖTLANDS LÄN</t>
        </is>
      </c>
      <c r="E4864" t="inlineStr">
        <is>
          <t>YDRE</t>
        </is>
      </c>
      <c r="G4864" t="n">
        <v>1.4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s="2" t="inlineStr"/>
    </row>
    <row r="4865" ht="15" customHeight="1">
      <c r="A4865" t="inlineStr">
        <is>
          <t>A 5086-2023</t>
        </is>
      </c>
      <c r="B4865" s="1" t="n">
        <v>44953</v>
      </c>
      <c r="C4865" s="1" t="n">
        <v>45211</v>
      </c>
      <c r="D4865" t="inlineStr">
        <is>
          <t>ÖSTERGÖTLANDS LÄN</t>
        </is>
      </c>
      <c r="E4865" t="inlineStr">
        <is>
          <t>KINDA</t>
        </is>
      </c>
      <c r="G4865" t="n">
        <v>4.2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s="2" t="inlineStr"/>
    </row>
    <row r="4866" ht="15" customHeight="1">
      <c r="A4866" t="inlineStr">
        <is>
          <t>A 4139-2023</t>
        </is>
      </c>
      <c r="B4866" s="1" t="n">
        <v>44953</v>
      </c>
      <c r="C4866" s="1" t="n">
        <v>45211</v>
      </c>
      <c r="D4866" t="inlineStr">
        <is>
          <t>ÖSTERGÖTLANDS LÄN</t>
        </is>
      </c>
      <c r="E4866" t="inlineStr">
        <is>
          <t>FINSPÅNG</t>
        </is>
      </c>
      <c r="G4866" t="n">
        <v>0.9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s="2" t="inlineStr"/>
    </row>
    <row r="4867" ht="15" customHeight="1">
      <c r="A4867" t="inlineStr">
        <is>
          <t>A 4143-2023</t>
        </is>
      </c>
      <c r="B4867" s="1" t="n">
        <v>44953</v>
      </c>
      <c r="C4867" s="1" t="n">
        <v>45211</v>
      </c>
      <c r="D4867" t="inlineStr">
        <is>
          <t>ÖSTERGÖTLANDS LÄN</t>
        </is>
      </c>
      <c r="E4867" t="inlineStr">
        <is>
          <t>VALDEMARSVIK</t>
        </is>
      </c>
      <c r="G4867" t="n">
        <v>1.9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s="2" t="inlineStr"/>
    </row>
    <row r="4868" ht="15" customHeight="1">
      <c r="A4868" t="inlineStr">
        <is>
          <t>A 4271-2023</t>
        </is>
      </c>
      <c r="B4868" s="1" t="n">
        <v>44953</v>
      </c>
      <c r="C4868" s="1" t="n">
        <v>45211</v>
      </c>
      <c r="D4868" t="inlineStr">
        <is>
          <t>ÖSTERGÖTLANDS LÄN</t>
        </is>
      </c>
      <c r="E4868" t="inlineStr">
        <is>
          <t>YDRE</t>
        </is>
      </c>
      <c r="G4868" t="n">
        <v>6.7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s="2" t="inlineStr"/>
    </row>
    <row r="4869" ht="15" customHeight="1">
      <c r="A4869" t="inlineStr">
        <is>
          <t>A 4288-2023</t>
        </is>
      </c>
      <c r="B4869" s="1" t="n">
        <v>44953</v>
      </c>
      <c r="C4869" s="1" t="n">
        <v>45211</v>
      </c>
      <c r="D4869" t="inlineStr">
        <is>
          <t>ÖSTERGÖTLANDS LÄN</t>
        </is>
      </c>
      <c r="E4869" t="inlineStr">
        <is>
          <t>KINDA</t>
        </is>
      </c>
      <c r="G4869" t="n">
        <v>1.9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s="2" t="inlineStr"/>
    </row>
    <row r="4870" ht="15" customHeight="1">
      <c r="A4870" t="inlineStr">
        <is>
          <t>A 4318-2023</t>
        </is>
      </c>
      <c r="B4870" s="1" t="n">
        <v>44953</v>
      </c>
      <c r="C4870" s="1" t="n">
        <v>45211</v>
      </c>
      <c r="D4870" t="inlineStr">
        <is>
          <t>ÖSTERGÖTLANDS LÄN</t>
        </is>
      </c>
      <c r="E4870" t="inlineStr">
        <is>
          <t>SÖDERKÖPING</t>
        </is>
      </c>
      <c r="G4870" t="n">
        <v>2.7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s="2" t="inlineStr"/>
    </row>
    <row r="4871" ht="15" customHeight="1">
      <c r="A4871" t="inlineStr">
        <is>
          <t>A 4255-2023</t>
        </is>
      </c>
      <c r="B4871" s="1" t="n">
        <v>44953</v>
      </c>
      <c r="C4871" s="1" t="n">
        <v>45211</v>
      </c>
      <c r="D4871" t="inlineStr">
        <is>
          <t>ÖSTERGÖTLANDS LÄN</t>
        </is>
      </c>
      <c r="E4871" t="inlineStr">
        <is>
          <t>MOTALA</t>
        </is>
      </c>
      <c r="G4871" t="n">
        <v>0.5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s="2" t="inlineStr"/>
    </row>
    <row r="4872" ht="15" customHeight="1">
      <c r="A4872" t="inlineStr">
        <is>
          <t>A 4280-2023</t>
        </is>
      </c>
      <c r="B4872" s="1" t="n">
        <v>44953</v>
      </c>
      <c r="C4872" s="1" t="n">
        <v>45211</v>
      </c>
      <c r="D4872" t="inlineStr">
        <is>
          <t>ÖSTERGÖTLANDS LÄN</t>
        </is>
      </c>
      <c r="E4872" t="inlineStr">
        <is>
          <t>FINSPÅNG</t>
        </is>
      </c>
      <c r="F4872" t="inlineStr">
        <is>
          <t>Holmen skog AB</t>
        </is>
      </c>
      <c r="G4872" t="n">
        <v>0.8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s="2" t="inlineStr"/>
    </row>
    <row r="4873" ht="15" customHeight="1">
      <c r="A4873" t="inlineStr">
        <is>
          <t>A 4331-2023</t>
        </is>
      </c>
      <c r="B4873" s="1" t="n">
        <v>44953</v>
      </c>
      <c r="C4873" s="1" t="n">
        <v>45211</v>
      </c>
      <c r="D4873" t="inlineStr">
        <is>
          <t>ÖSTERGÖTLANDS LÄN</t>
        </is>
      </c>
      <c r="E4873" t="inlineStr">
        <is>
          <t>VALDEMARSVIK</t>
        </is>
      </c>
      <c r="G4873" t="n">
        <v>1.8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s="2" t="inlineStr"/>
    </row>
    <row r="4874" ht="15" customHeight="1">
      <c r="A4874" t="inlineStr">
        <is>
          <t>A 4499-2023</t>
        </is>
      </c>
      <c r="B4874" s="1" t="n">
        <v>44956</v>
      </c>
      <c r="C4874" s="1" t="n">
        <v>45211</v>
      </c>
      <c r="D4874" t="inlineStr">
        <is>
          <t>ÖSTERGÖTLANDS LÄN</t>
        </is>
      </c>
      <c r="E4874" t="inlineStr">
        <is>
          <t>KINDA</t>
        </is>
      </c>
      <c r="G4874" t="n">
        <v>3.8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s="2" t="inlineStr"/>
    </row>
    <row r="4875" ht="15" customHeight="1">
      <c r="A4875" t="inlineStr">
        <is>
          <t>A 4546-2023</t>
        </is>
      </c>
      <c r="B4875" s="1" t="n">
        <v>44956</v>
      </c>
      <c r="C4875" s="1" t="n">
        <v>45211</v>
      </c>
      <c r="D4875" t="inlineStr">
        <is>
          <t>ÖSTERGÖTLANDS LÄN</t>
        </is>
      </c>
      <c r="E4875" t="inlineStr">
        <is>
          <t>NORRKÖPING</t>
        </is>
      </c>
      <c r="F4875" t="inlineStr">
        <is>
          <t>Holmen skog AB</t>
        </is>
      </c>
      <c r="G4875" t="n">
        <v>1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s="2" t="inlineStr"/>
    </row>
    <row r="4876" ht="15" customHeight="1">
      <c r="A4876" t="inlineStr">
        <is>
          <t>A 4460-2023</t>
        </is>
      </c>
      <c r="B4876" s="1" t="n">
        <v>44956</v>
      </c>
      <c r="C4876" s="1" t="n">
        <v>45211</v>
      </c>
      <c r="D4876" t="inlineStr">
        <is>
          <t>ÖSTERGÖTLANDS LÄN</t>
        </is>
      </c>
      <c r="E4876" t="inlineStr">
        <is>
          <t>NORRKÖPING</t>
        </is>
      </c>
      <c r="F4876" t="inlineStr">
        <is>
          <t>Holmen skog AB</t>
        </is>
      </c>
      <c r="G4876" t="n">
        <v>0.9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s="2" t="inlineStr"/>
    </row>
    <row r="4877" ht="15" customHeight="1">
      <c r="A4877" t="inlineStr">
        <is>
          <t>A 4555-2023</t>
        </is>
      </c>
      <c r="B4877" s="1" t="n">
        <v>44956</v>
      </c>
      <c r="C4877" s="1" t="n">
        <v>45211</v>
      </c>
      <c r="D4877" t="inlineStr">
        <is>
          <t>ÖSTERGÖTLANDS LÄN</t>
        </is>
      </c>
      <c r="E4877" t="inlineStr">
        <is>
          <t>KINDA</t>
        </is>
      </c>
      <c r="G4877" t="n">
        <v>1.1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s="2" t="inlineStr"/>
    </row>
    <row r="4878" ht="15" customHeight="1">
      <c r="A4878" t="inlineStr">
        <is>
          <t>A 4809-2023</t>
        </is>
      </c>
      <c r="B4878" s="1" t="n">
        <v>44956</v>
      </c>
      <c r="C4878" s="1" t="n">
        <v>45211</v>
      </c>
      <c r="D4878" t="inlineStr">
        <is>
          <t>ÖSTERGÖTLANDS LÄN</t>
        </is>
      </c>
      <c r="E4878" t="inlineStr">
        <is>
          <t>FINSPÅNG</t>
        </is>
      </c>
      <c r="G4878" t="n">
        <v>11.5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s="2" t="inlineStr"/>
    </row>
    <row r="4879" ht="15" customHeight="1">
      <c r="A4879" t="inlineStr">
        <is>
          <t>A 4743-2023</t>
        </is>
      </c>
      <c r="B4879" s="1" t="n">
        <v>44957</v>
      </c>
      <c r="C4879" s="1" t="n">
        <v>45211</v>
      </c>
      <c r="D4879" t="inlineStr">
        <is>
          <t>ÖSTERGÖTLANDS LÄN</t>
        </is>
      </c>
      <c r="E4879" t="inlineStr">
        <is>
          <t>NORRKÖPING</t>
        </is>
      </c>
      <c r="F4879" t="inlineStr">
        <is>
          <t>Holmen skog AB</t>
        </is>
      </c>
      <c r="G4879" t="n">
        <v>0.6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s="2" t="inlineStr"/>
    </row>
    <row r="4880" ht="15" customHeight="1">
      <c r="A4880" t="inlineStr">
        <is>
          <t>A 4826-2023</t>
        </is>
      </c>
      <c r="B4880" s="1" t="n">
        <v>44957</v>
      </c>
      <c r="C4880" s="1" t="n">
        <v>45211</v>
      </c>
      <c r="D4880" t="inlineStr">
        <is>
          <t>ÖSTERGÖTLANDS LÄN</t>
        </is>
      </c>
      <c r="E4880" t="inlineStr">
        <is>
          <t>NORRKÖPING</t>
        </is>
      </c>
      <c r="F4880" t="inlineStr">
        <is>
          <t>Holmen skog AB</t>
        </is>
      </c>
      <c r="G4880" t="n">
        <v>5.1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s="2" t="inlineStr"/>
    </row>
    <row r="4881" ht="15" customHeight="1">
      <c r="A4881" t="inlineStr">
        <is>
          <t>A 4855-2023</t>
        </is>
      </c>
      <c r="B4881" s="1" t="n">
        <v>44957</v>
      </c>
      <c r="C4881" s="1" t="n">
        <v>45211</v>
      </c>
      <c r="D4881" t="inlineStr">
        <is>
          <t>ÖSTERGÖTLANDS LÄN</t>
        </is>
      </c>
      <c r="E4881" t="inlineStr">
        <is>
          <t>VALDEMARSVIK</t>
        </is>
      </c>
      <c r="G4881" t="n">
        <v>4.2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s="2" t="inlineStr"/>
    </row>
    <row r="4882" ht="15" customHeight="1">
      <c r="A4882" t="inlineStr">
        <is>
          <t>A 4856-2023</t>
        </is>
      </c>
      <c r="B4882" s="1" t="n">
        <v>44957</v>
      </c>
      <c r="C4882" s="1" t="n">
        <v>45211</v>
      </c>
      <c r="D4882" t="inlineStr">
        <is>
          <t>ÖSTERGÖTLANDS LÄN</t>
        </is>
      </c>
      <c r="E4882" t="inlineStr">
        <is>
          <t>VALDEMARSVIK</t>
        </is>
      </c>
      <c r="G4882" t="n">
        <v>3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s="2" t="inlineStr"/>
    </row>
    <row r="4883" ht="15" customHeight="1">
      <c r="A4883" t="inlineStr">
        <is>
          <t>A 4770-2023</t>
        </is>
      </c>
      <c r="B4883" s="1" t="n">
        <v>44957</v>
      </c>
      <c r="C4883" s="1" t="n">
        <v>45211</v>
      </c>
      <c r="D4883" t="inlineStr">
        <is>
          <t>ÖSTERGÖTLANDS LÄN</t>
        </is>
      </c>
      <c r="E4883" t="inlineStr">
        <is>
          <t>NORRKÖPING</t>
        </is>
      </c>
      <c r="F4883" t="inlineStr">
        <is>
          <t>Holmen skog AB</t>
        </is>
      </c>
      <c r="G4883" t="n">
        <v>0.6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s="2" t="inlineStr"/>
    </row>
    <row r="4884" ht="15" customHeight="1">
      <c r="A4884" t="inlineStr">
        <is>
          <t>A 5516-2023</t>
        </is>
      </c>
      <c r="B4884" s="1" t="n">
        <v>44957</v>
      </c>
      <c r="C4884" s="1" t="n">
        <v>45211</v>
      </c>
      <c r="D4884" t="inlineStr">
        <is>
          <t>ÖSTERGÖTLANDS LÄN</t>
        </is>
      </c>
      <c r="E4884" t="inlineStr">
        <is>
          <t>NORRKÖPING</t>
        </is>
      </c>
      <c r="F4884" t="inlineStr">
        <is>
          <t>Allmännings- och besparingsskogar</t>
        </is>
      </c>
      <c r="G4884" t="n">
        <v>12.5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s="2" t="inlineStr"/>
    </row>
    <row r="4885" ht="15" customHeight="1">
      <c r="A4885" t="inlineStr">
        <is>
          <t>A 4924-2023</t>
        </is>
      </c>
      <c r="B4885" s="1" t="n">
        <v>44958</v>
      </c>
      <c r="C4885" s="1" t="n">
        <v>45211</v>
      </c>
      <c r="D4885" t="inlineStr">
        <is>
          <t>ÖSTERGÖTLANDS LÄN</t>
        </is>
      </c>
      <c r="E4885" t="inlineStr">
        <is>
          <t>LINKÖPING</t>
        </is>
      </c>
      <c r="G4885" t="n">
        <v>5.8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s="2" t="inlineStr"/>
    </row>
    <row r="4886" ht="15" customHeight="1">
      <c r="A4886" t="inlineStr">
        <is>
          <t>A 5093-2023</t>
        </is>
      </c>
      <c r="B4886" s="1" t="n">
        <v>44958</v>
      </c>
      <c r="C4886" s="1" t="n">
        <v>45211</v>
      </c>
      <c r="D4886" t="inlineStr">
        <is>
          <t>ÖSTERGÖTLANDS LÄN</t>
        </is>
      </c>
      <c r="E4886" t="inlineStr">
        <is>
          <t>FINSPÅNG</t>
        </is>
      </c>
      <c r="F4886" t="inlineStr">
        <is>
          <t>Holmen skog AB</t>
        </is>
      </c>
      <c r="G4886" t="n">
        <v>2.7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s="2" t="inlineStr"/>
    </row>
    <row r="4887" ht="15" customHeight="1">
      <c r="A4887" t="inlineStr">
        <is>
          <t>A 5615-2023</t>
        </is>
      </c>
      <c r="B4887" s="1" t="n">
        <v>44958</v>
      </c>
      <c r="C4887" s="1" t="n">
        <v>45211</v>
      </c>
      <c r="D4887" t="inlineStr">
        <is>
          <t>ÖSTERGÖTLANDS LÄN</t>
        </is>
      </c>
      <c r="E4887" t="inlineStr">
        <is>
          <t>SÖDERKÖPING</t>
        </is>
      </c>
      <c r="G4887" t="n">
        <v>1.1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s="2" t="inlineStr"/>
    </row>
    <row r="4888" ht="15" customHeight="1">
      <c r="A4888" t="inlineStr">
        <is>
          <t>A 4908-2023</t>
        </is>
      </c>
      <c r="B4888" s="1" t="n">
        <v>44958</v>
      </c>
      <c r="C4888" s="1" t="n">
        <v>45211</v>
      </c>
      <c r="D4888" t="inlineStr">
        <is>
          <t>ÖSTERGÖTLANDS LÄN</t>
        </is>
      </c>
      <c r="E4888" t="inlineStr">
        <is>
          <t>LINKÖPING</t>
        </is>
      </c>
      <c r="G4888" t="n">
        <v>0.7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s="2" t="inlineStr"/>
    </row>
    <row r="4889" ht="15" customHeight="1">
      <c r="A4889" t="inlineStr">
        <is>
          <t>A 5073-2023</t>
        </is>
      </c>
      <c r="B4889" s="1" t="n">
        <v>44958</v>
      </c>
      <c r="C4889" s="1" t="n">
        <v>45211</v>
      </c>
      <c r="D4889" t="inlineStr">
        <is>
          <t>ÖSTERGÖTLANDS LÄN</t>
        </is>
      </c>
      <c r="E4889" t="inlineStr">
        <is>
          <t>MOTALA</t>
        </is>
      </c>
      <c r="G4889" t="n">
        <v>1.3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s="2" t="inlineStr"/>
    </row>
    <row r="4890" ht="15" customHeight="1">
      <c r="A4890" t="inlineStr">
        <is>
          <t>A 4913-2023</t>
        </is>
      </c>
      <c r="B4890" s="1" t="n">
        <v>44958</v>
      </c>
      <c r="C4890" s="1" t="n">
        <v>45211</v>
      </c>
      <c r="D4890" t="inlineStr">
        <is>
          <t>ÖSTERGÖTLANDS LÄN</t>
        </is>
      </c>
      <c r="E4890" t="inlineStr">
        <is>
          <t>KINDA</t>
        </is>
      </c>
      <c r="G4890" t="n">
        <v>4.5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s="2" t="inlineStr"/>
    </row>
    <row r="4891" ht="15" customHeight="1">
      <c r="A4891" t="inlineStr">
        <is>
          <t>A 5605-2023</t>
        </is>
      </c>
      <c r="B4891" s="1" t="n">
        <v>44958</v>
      </c>
      <c r="C4891" s="1" t="n">
        <v>45211</v>
      </c>
      <c r="D4891" t="inlineStr">
        <is>
          <t>ÖSTERGÖTLANDS LÄN</t>
        </is>
      </c>
      <c r="E4891" t="inlineStr">
        <is>
          <t>NORRKÖPING</t>
        </is>
      </c>
      <c r="G4891" t="n">
        <v>1.4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s="2" t="inlineStr"/>
    </row>
    <row r="4892" ht="15" customHeight="1">
      <c r="A4892" t="inlineStr">
        <is>
          <t>A 5323-2023</t>
        </is>
      </c>
      <c r="B4892" s="1" t="n">
        <v>44959</v>
      </c>
      <c r="C4892" s="1" t="n">
        <v>45211</v>
      </c>
      <c r="D4892" t="inlineStr">
        <is>
          <t>ÖSTERGÖTLANDS LÄN</t>
        </is>
      </c>
      <c r="E4892" t="inlineStr">
        <is>
          <t>NORRKÖPING</t>
        </is>
      </c>
      <c r="F4892" t="inlineStr">
        <is>
          <t>Holmen skog AB</t>
        </is>
      </c>
      <c r="G4892" t="n">
        <v>1.9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s="2" t="inlineStr"/>
    </row>
    <row r="4893" ht="15" customHeight="1">
      <c r="A4893" t="inlineStr">
        <is>
          <t>A 5426-2023</t>
        </is>
      </c>
      <c r="B4893" s="1" t="n">
        <v>44959</v>
      </c>
      <c r="C4893" s="1" t="n">
        <v>45211</v>
      </c>
      <c r="D4893" t="inlineStr">
        <is>
          <t>ÖSTERGÖTLANDS LÄN</t>
        </is>
      </c>
      <c r="E4893" t="inlineStr">
        <is>
          <t>LINKÖPING</t>
        </is>
      </c>
      <c r="G4893" t="n">
        <v>6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s="2" t="inlineStr"/>
    </row>
    <row r="4894" ht="15" customHeight="1">
      <c r="A4894" t="inlineStr">
        <is>
          <t>A 5229-2023</t>
        </is>
      </c>
      <c r="B4894" s="1" t="n">
        <v>44959</v>
      </c>
      <c r="C4894" s="1" t="n">
        <v>45211</v>
      </c>
      <c r="D4894" t="inlineStr">
        <is>
          <t>ÖSTERGÖTLANDS LÄN</t>
        </is>
      </c>
      <c r="E4894" t="inlineStr">
        <is>
          <t>NORRKÖPING</t>
        </is>
      </c>
      <c r="F4894" t="inlineStr">
        <is>
          <t>Holmen skog AB</t>
        </is>
      </c>
      <c r="G4894" t="n">
        <v>4.2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s="2" t="inlineStr"/>
    </row>
    <row r="4895" ht="15" customHeight="1">
      <c r="A4895" t="inlineStr">
        <is>
          <t>A 5649-2023</t>
        </is>
      </c>
      <c r="B4895" s="1" t="n">
        <v>44960</v>
      </c>
      <c r="C4895" s="1" t="n">
        <v>45211</v>
      </c>
      <c r="D4895" t="inlineStr">
        <is>
          <t>ÖSTERGÖTLANDS LÄN</t>
        </is>
      </c>
      <c r="E4895" t="inlineStr">
        <is>
          <t>KINDA</t>
        </is>
      </c>
      <c r="G4895" t="n">
        <v>2.5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s="2" t="inlineStr"/>
    </row>
    <row r="4896" ht="15" customHeight="1">
      <c r="A4896" t="inlineStr">
        <is>
          <t>A 5580-2023</t>
        </is>
      </c>
      <c r="B4896" s="1" t="n">
        <v>44960</v>
      </c>
      <c r="C4896" s="1" t="n">
        <v>45211</v>
      </c>
      <c r="D4896" t="inlineStr">
        <is>
          <t>ÖSTERGÖTLANDS LÄN</t>
        </is>
      </c>
      <c r="E4896" t="inlineStr">
        <is>
          <t>FINSPÅNG</t>
        </is>
      </c>
      <c r="F4896" t="inlineStr">
        <is>
          <t>Holmen skog AB</t>
        </is>
      </c>
      <c r="G4896" t="n">
        <v>1.6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s="2" t="inlineStr"/>
    </row>
    <row r="4897" ht="15" customHeight="1">
      <c r="A4897" t="inlineStr">
        <is>
          <t>A 5585-2023</t>
        </is>
      </c>
      <c r="B4897" s="1" t="n">
        <v>44960</v>
      </c>
      <c r="C4897" s="1" t="n">
        <v>45211</v>
      </c>
      <c r="D4897" t="inlineStr">
        <is>
          <t>ÖSTERGÖTLANDS LÄN</t>
        </is>
      </c>
      <c r="E4897" t="inlineStr">
        <is>
          <t>FINSPÅNG</t>
        </is>
      </c>
      <c r="F4897" t="inlineStr">
        <is>
          <t>Holmen skog AB</t>
        </is>
      </c>
      <c r="G4897" t="n">
        <v>0.8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s="2" t="inlineStr"/>
    </row>
    <row r="4898" ht="15" customHeight="1">
      <c r="A4898" t="inlineStr">
        <is>
          <t>A 5918-2023</t>
        </is>
      </c>
      <c r="B4898" s="1" t="n">
        <v>44963</v>
      </c>
      <c r="C4898" s="1" t="n">
        <v>45211</v>
      </c>
      <c r="D4898" t="inlineStr">
        <is>
          <t>ÖSTERGÖTLANDS LÄN</t>
        </is>
      </c>
      <c r="E4898" t="inlineStr">
        <is>
          <t>KINDA</t>
        </is>
      </c>
      <c r="G4898" t="n">
        <v>2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s="2" t="inlineStr"/>
    </row>
    <row r="4899" ht="15" customHeight="1">
      <c r="A4899" t="inlineStr">
        <is>
          <t>A 5816-2023</t>
        </is>
      </c>
      <c r="B4899" s="1" t="n">
        <v>44963</v>
      </c>
      <c r="C4899" s="1" t="n">
        <v>45211</v>
      </c>
      <c r="D4899" t="inlineStr">
        <is>
          <t>ÖSTERGÖTLANDS LÄN</t>
        </is>
      </c>
      <c r="E4899" t="inlineStr">
        <is>
          <t>KINDA</t>
        </is>
      </c>
      <c r="G4899" t="n">
        <v>2.7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s="2" t="inlineStr"/>
    </row>
    <row r="4900" ht="15" customHeight="1">
      <c r="A4900" t="inlineStr">
        <is>
          <t>A 6695-2023</t>
        </is>
      </c>
      <c r="B4900" s="1" t="n">
        <v>44963</v>
      </c>
      <c r="C4900" s="1" t="n">
        <v>45211</v>
      </c>
      <c r="D4900" t="inlineStr">
        <is>
          <t>ÖSTERGÖTLANDS LÄN</t>
        </is>
      </c>
      <c r="E4900" t="inlineStr">
        <is>
          <t>KINDA</t>
        </is>
      </c>
      <c r="G4900" t="n">
        <v>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s="2" t="inlineStr"/>
    </row>
    <row r="4901" ht="15" customHeight="1">
      <c r="A4901" t="inlineStr">
        <is>
          <t>A 6170-2023</t>
        </is>
      </c>
      <c r="B4901" s="1" t="n">
        <v>44964</v>
      </c>
      <c r="C4901" s="1" t="n">
        <v>45211</v>
      </c>
      <c r="D4901" t="inlineStr">
        <is>
          <t>ÖSTERGÖTLANDS LÄN</t>
        </is>
      </c>
      <c r="E4901" t="inlineStr">
        <is>
          <t>SÖDERKÖPING</t>
        </is>
      </c>
      <c r="G4901" t="n">
        <v>2.6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s="2" t="inlineStr"/>
    </row>
    <row r="4902" ht="15" customHeight="1">
      <c r="A4902" t="inlineStr">
        <is>
          <t>A 6923-2023</t>
        </is>
      </c>
      <c r="B4902" s="1" t="n">
        <v>44964</v>
      </c>
      <c r="C4902" s="1" t="n">
        <v>45211</v>
      </c>
      <c r="D4902" t="inlineStr">
        <is>
          <t>ÖSTERGÖTLANDS LÄN</t>
        </is>
      </c>
      <c r="E4902" t="inlineStr">
        <is>
          <t>LINKÖPING</t>
        </is>
      </c>
      <c r="F4902" t="inlineStr">
        <is>
          <t>Kommuner</t>
        </is>
      </c>
      <c r="G4902" t="n">
        <v>0.9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s="2" t="inlineStr"/>
    </row>
    <row r="4903" ht="15" customHeight="1">
      <c r="A4903" t="inlineStr">
        <is>
          <t>A 6077-2023</t>
        </is>
      </c>
      <c r="B4903" s="1" t="n">
        <v>44964</v>
      </c>
      <c r="C4903" s="1" t="n">
        <v>45211</v>
      </c>
      <c r="D4903" t="inlineStr">
        <is>
          <t>ÖSTERGÖTLANDS LÄN</t>
        </is>
      </c>
      <c r="E4903" t="inlineStr">
        <is>
          <t>LINKÖPING</t>
        </is>
      </c>
      <c r="G4903" t="n">
        <v>4.1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s="2" t="inlineStr"/>
    </row>
    <row r="4904" ht="15" customHeight="1">
      <c r="A4904" t="inlineStr">
        <is>
          <t>A 6098-2023</t>
        </is>
      </c>
      <c r="B4904" s="1" t="n">
        <v>44964</v>
      </c>
      <c r="C4904" s="1" t="n">
        <v>45211</v>
      </c>
      <c r="D4904" t="inlineStr">
        <is>
          <t>ÖSTERGÖTLANDS LÄN</t>
        </is>
      </c>
      <c r="E4904" t="inlineStr">
        <is>
          <t>KINDA</t>
        </is>
      </c>
      <c r="G4904" t="n">
        <v>1.6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s="2" t="inlineStr"/>
    </row>
    <row r="4905" ht="15" customHeight="1">
      <c r="A4905" t="inlineStr">
        <is>
          <t>A 6220-2023</t>
        </is>
      </c>
      <c r="B4905" s="1" t="n">
        <v>44964</v>
      </c>
      <c r="C4905" s="1" t="n">
        <v>45211</v>
      </c>
      <c r="D4905" t="inlineStr">
        <is>
          <t>ÖSTERGÖTLANDS LÄN</t>
        </is>
      </c>
      <c r="E4905" t="inlineStr">
        <is>
          <t>ÅTVIDABERG</t>
        </is>
      </c>
      <c r="G4905" t="n">
        <v>0.6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s="2" t="inlineStr"/>
    </row>
    <row r="4906" ht="15" customHeight="1">
      <c r="A4906" t="inlineStr">
        <is>
          <t>A 6419-2023</t>
        </is>
      </c>
      <c r="B4906" s="1" t="n">
        <v>44965</v>
      </c>
      <c r="C4906" s="1" t="n">
        <v>45211</v>
      </c>
      <c r="D4906" t="inlineStr">
        <is>
          <t>ÖSTERGÖTLANDS LÄN</t>
        </is>
      </c>
      <c r="E4906" t="inlineStr">
        <is>
          <t>SÖDERKÖPING</t>
        </is>
      </c>
      <c r="G4906" t="n">
        <v>5.4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s="2" t="inlineStr"/>
    </row>
    <row r="4907" ht="15" customHeight="1">
      <c r="A4907" t="inlineStr">
        <is>
          <t>A 6407-2023</t>
        </is>
      </c>
      <c r="B4907" s="1" t="n">
        <v>44965</v>
      </c>
      <c r="C4907" s="1" t="n">
        <v>45211</v>
      </c>
      <c r="D4907" t="inlineStr">
        <is>
          <t>ÖSTERGÖTLANDS LÄN</t>
        </is>
      </c>
      <c r="E4907" t="inlineStr">
        <is>
          <t>FINSPÅNG</t>
        </is>
      </c>
      <c r="F4907" t="inlineStr">
        <is>
          <t>Holmen skog AB</t>
        </is>
      </c>
      <c r="G4907" t="n">
        <v>1.8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s="2" t="inlineStr"/>
    </row>
    <row r="4908" ht="15" customHeight="1">
      <c r="A4908" t="inlineStr">
        <is>
          <t>A 6261-2023</t>
        </is>
      </c>
      <c r="B4908" s="1" t="n">
        <v>44965</v>
      </c>
      <c r="C4908" s="1" t="n">
        <v>45211</v>
      </c>
      <c r="D4908" t="inlineStr">
        <is>
          <t>ÖSTERGÖTLANDS LÄN</t>
        </is>
      </c>
      <c r="E4908" t="inlineStr">
        <is>
          <t>NORRKÖPING</t>
        </is>
      </c>
      <c r="G4908" t="n">
        <v>1.1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s="2" t="inlineStr"/>
    </row>
    <row r="4909" ht="15" customHeight="1">
      <c r="A4909" t="inlineStr">
        <is>
          <t>A 6350-2023</t>
        </is>
      </c>
      <c r="B4909" s="1" t="n">
        <v>44965</v>
      </c>
      <c r="C4909" s="1" t="n">
        <v>45211</v>
      </c>
      <c r="D4909" t="inlineStr">
        <is>
          <t>ÖSTERGÖTLANDS LÄN</t>
        </is>
      </c>
      <c r="E4909" t="inlineStr">
        <is>
          <t>SÖDERKÖPING</t>
        </is>
      </c>
      <c r="G4909" t="n">
        <v>3.6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s="2" t="inlineStr"/>
    </row>
    <row r="4910" ht="15" customHeight="1">
      <c r="A4910" t="inlineStr">
        <is>
          <t>A 6372-2023</t>
        </is>
      </c>
      <c r="B4910" s="1" t="n">
        <v>44965</v>
      </c>
      <c r="C4910" s="1" t="n">
        <v>45211</v>
      </c>
      <c r="D4910" t="inlineStr">
        <is>
          <t>ÖSTERGÖTLANDS LÄN</t>
        </is>
      </c>
      <c r="E4910" t="inlineStr">
        <is>
          <t>ÅTVIDABERG</t>
        </is>
      </c>
      <c r="G4910" t="n">
        <v>2.8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s="2" t="inlineStr"/>
    </row>
    <row r="4911" ht="15" customHeight="1">
      <c r="A4911" t="inlineStr">
        <is>
          <t>A 6414-2023</t>
        </is>
      </c>
      <c r="B4911" s="1" t="n">
        <v>44965</v>
      </c>
      <c r="C4911" s="1" t="n">
        <v>45211</v>
      </c>
      <c r="D4911" t="inlineStr">
        <is>
          <t>ÖSTERGÖTLANDS LÄN</t>
        </is>
      </c>
      <c r="E4911" t="inlineStr">
        <is>
          <t>FINSPÅNG</t>
        </is>
      </c>
      <c r="F4911" t="inlineStr">
        <is>
          <t>Holmen skog AB</t>
        </is>
      </c>
      <c r="G4911" t="n">
        <v>4.5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s="2" t="inlineStr"/>
    </row>
    <row r="4912" ht="15" customHeight="1">
      <c r="A4912" t="inlineStr">
        <is>
          <t>A 6533-2023</t>
        </is>
      </c>
      <c r="B4912" s="1" t="n">
        <v>44966</v>
      </c>
      <c r="C4912" s="1" t="n">
        <v>45211</v>
      </c>
      <c r="D4912" t="inlineStr">
        <is>
          <t>ÖSTERGÖTLANDS LÄN</t>
        </is>
      </c>
      <c r="E4912" t="inlineStr">
        <is>
          <t>SÖDERKÖPING</t>
        </is>
      </c>
      <c r="G4912" t="n">
        <v>5.1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s="2" t="inlineStr"/>
    </row>
    <row r="4913" ht="15" customHeight="1">
      <c r="A4913" t="inlineStr">
        <is>
          <t>A 6540-2023</t>
        </is>
      </c>
      <c r="B4913" s="1" t="n">
        <v>44966</v>
      </c>
      <c r="C4913" s="1" t="n">
        <v>45211</v>
      </c>
      <c r="D4913" t="inlineStr">
        <is>
          <t>ÖSTERGÖTLANDS LÄN</t>
        </is>
      </c>
      <c r="E4913" t="inlineStr">
        <is>
          <t>SÖDERKÖPING</t>
        </is>
      </c>
      <c r="G4913" t="n">
        <v>1.1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s="2" t="inlineStr"/>
    </row>
    <row r="4914" ht="15" customHeight="1">
      <c r="A4914" t="inlineStr">
        <is>
          <t>A 6723-2023</t>
        </is>
      </c>
      <c r="B4914" s="1" t="n">
        <v>44966</v>
      </c>
      <c r="C4914" s="1" t="n">
        <v>45211</v>
      </c>
      <c r="D4914" t="inlineStr">
        <is>
          <t>ÖSTERGÖTLANDS LÄN</t>
        </is>
      </c>
      <c r="E4914" t="inlineStr">
        <is>
          <t>FINSPÅNG</t>
        </is>
      </c>
      <c r="G4914" t="n">
        <v>4.8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s="2" t="inlineStr"/>
    </row>
    <row r="4915" ht="15" customHeight="1">
      <c r="A4915" t="inlineStr">
        <is>
          <t>A 6571-2023</t>
        </is>
      </c>
      <c r="B4915" s="1" t="n">
        <v>44966</v>
      </c>
      <c r="C4915" s="1" t="n">
        <v>45211</v>
      </c>
      <c r="D4915" t="inlineStr">
        <is>
          <t>ÖSTERGÖTLANDS LÄN</t>
        </is>
      </c>
      <c r="E4915" t="inlineStr">
        <is>
          <t>SÖDERKÖPING</t>
        </is>
      </c>
      <c r="G4915" t="n">
        <v>0.8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s="2" t="inlineStr"/>
    </row>
    <row r="4916" ht="15" customHeight="1">
      <c r="A4916" t="inlineStr">
        <is>
          <t>A 6628-2023</t>
        </is>
      </c>
      <c r="B4916" s="1" t="n">
        <v>44966</v>
      </c>
      <c r="C4916" s="1" t="n">
        <v>45211</v>
      </c>
      <c r="D4916" t="inlineStr">
        <is>
          <t>ÖSTERGÖTLANDS LÄN</t>
        </is>
      </c>
      <c r="E4916" t="inlineStr">
        <is>
          <t>FINSPÅNG</t>
        </is>
      </c>
      <c r="F4916" t="inlineStr">
        <is>
          <t>Övriga Aktiebolag</t>
        </is>
      </c>
      <c r="G4916" t="n">
        <v>0.7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s="2" t="inlineStr"/>
    </row>
    <row r="4917" ht="15" customHeight="1">
      <c r="A4917" t="inlineStr">
        <is>
          <t>A 6659-2023</t>
        </is>
      </c>
      <c r="B4917" s="1" t="n">
        <v>44966</v>
      </c>
      <c r="C4917" s="1" t="n">
        <v>45211</v>
      </c>
      <c r="D4917" t="inlineStr">
        <is>
          <t>ÖSTERGÖTLANDS LÄN</t>
        </is>
      </c>
      <c r="E4917" t="inlineStr">
        <is>
          <t>SÖDERKÖPING</t>
        </is>
      </c>
      <c r="G4917" t="n">
        <v>1.3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s="2" t="inlineStr"/>
    </row>
    <row r="4918" ht="15" customHeight="1">
      <c r="A4918" t="inlineStr">
        <is>
          <t>A 6731-2023</t>
        </is>
      </c>
      <c r="B4918" s="1" t="n">
        <v>44966</v>
      </c>
      <c r="C4918" s="1" t="n">
        <v>45211</v>
      </c>
      <c r="D4918" t="inlineStr">
        <is>
          <t>ÖSTERGÖTLANDS LÄN</t>
        </is>
      </c>
      <c r="E4918" t="inlineStr">
        <is>
          <t>FINSPÅNG</t>
        </is>
      </c>
      <c r="G4918" t="n">
        <v>1.3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s="2" t="inlineStr"/>
    </row>
    <row r="4919" ht="15" customHeight="1">
      <c r="A4919" t="inlineStr">
        <is>
          <t>A 6527-2023</t>
        </is>
      </c>
      <c r="B4919" s="1" t="n">
        <v>44966</v>
      </c>
      <c r="C4919" s="1" t="n">
        <v>45211</v>
      </c>
      <c r="D4919" t="inlineStr">
        <is>
          <t>ÖSTERGÖTLANDS LÄN</t>
        </is>
      </c>
      <c r="E4919" t="inlineStr">
        <is>
          <t>FINSPÅNG</t>
        </is>
      </c>
      <c r="F4919" t="inlineStr">
        <is>
          <t>Holmen skog AB</t>
        </is>
      </c>
      <c r="G4919" t="n">
        <v>0.7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s="2" t="inlineStr"/>
    </row>
    <row r="4920" ht="15" customHeight="1">
      <c r="A4920" t="inlineStr">
        <is>
          <t>A 6542-2023</t>
        </is>
      </c>
      <c r="B4920" s="1" t="n">
        <v>44966</v>
      </c>
      <c r="C4920" s="1" t="n">
        <v>45211</v>
      </c>
      <c r="D4920" t="inlineStr">
        <is>
          <t>ÖSTERGÖTLANDS LÄN</t>
        </is>
      </c>
      <c r="E4920" t="inlineStr">
        <is>
          <t>SÖDERKÖPING</t>
        </is>
      </c>
      <c r="G4920" t="n">
        <v>1.8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s="2" t="inlineStr"/>
    </row>
    <row r="4921" ht="15" customHeight="1">
      <c r="A4921" t="inlineStr">
        <is>
          <t>A 6697-2023</t>
        </is>
      </c>
      <c r="B4921" s="1" t="n">
        <v>44966</v>
      </c>
      <c r="C4921" s="1" t="n">
        <v>45211</v>
      </c>
      <c r="D4921" t="inlineStr">
        <is>
          <t>ÖSTERGÖTLANDS LÄN</t>
        </is>
      </c>
      <c r="E4921" t="inlineStr">
        <is>
          <t>FINSPÅNG</t>
        </is>
      </c>
      <c r="G4921" t="n">
        <v>3.4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s="2" t="inlineStr"/>
    </row>
    <row r="4922" ht="15" customHeight="1">
      <c r="A4922" t="inlineStr">
        <is>
          <t>A 6535-2023</t>
        </is>
      </c>
      <c r="B4922" s="1" t="n">
        <v>44966</v>
      </c>
      <c r="C4922" s="1" t="n">
        <v>45211</v>
      </c>
      <c r="D4922" t="inlineStr">
        <is>
          <t>ÖSTERGÖTLANDS LÄN</t>
        </is>
      </c>
      <c r="E4922" t="inlineStr">
        <is>
          <t>SÖDERKÖPING</t>
        </is>
      </c>
      <c r="G4922" t="n">
        <v>0.5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s="2" t="inlineStr"/>
    </row>
    <row r="4923" ht="15" customHeight="1">
      <c r="A4923" t="inlineStr">
        <is>
          <t>A 6546-2023</t>
        </is>
      </c>
      <c r="B4923" s="1" t="n">
        <v>44966</v>
      </c>
      <c r="C4923" s="1" t="n">
        <v>45211</v>
      </c>
      <c r="D4923" t="inlineStr">
        <is>
          <t>ÖSTERGÖTLANDS LÄN</t>
        </is>
      </c>
      <c r="E4923" t="inlineStr">
        <is>
          <t>SÖDERKÖPING</t>
        </is>
      </c>
      <c r="G4923" t="n">
        <v>0.7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s="2" t="inlineStr"/>
    </row>
    <row r="4924" ht="15" customHeight="1">
      <c r="A4924" t="inlineStr">
        <is>
          <t>A 6589-2023</t>
        </is>
      </c>
      <c r="B4924" s="1" t="n">
        <v>44966</v>
      </c>
      <c r="C4924" s="1" t="n">
        <v>45211</v>
      </c>
      <c r="D4924" t="inlineStr">
        <is>
          <t>ÖSTERGÖTLANDS LÄN</t>
        </is>
      </c>
      <c r="E4924" t="inlineStr">
        <is>
          <t>FINSPÅNG</t>
        </is>
      </c>
      <c r="G4924" t="n">
        <v>5.2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s="2" t="inlineStr"/>
    </row>
    <row r="4925" ht="15" customHeight="1">
      <c r="A4925" t="inlineStr">
        <is>
          <t>A 6884-2023</t>
        </is>
      </c>
      <c r="B4925" s="1" t="n">
        <v>44967</v>
      </c>
      <c r="C4925" s="1" t="n">
        <v>45211</v>
      </c>
      <c r="D4925" t="inlineStr">
        <is>
          <t>ÖSTERGÖTLANDS LÄN</t>
        </is>
      </c>
      <c r="E4925" t="inlineStr">
        <is>
          <t>ÅTVIDABERG</t>
        </is>
      </c>
      <c r="G4925" t="n">
        <v>1.2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s="2" t="inlineStr"/>
    </row>
    <row r="4926" ht="15" customHeight="1">
      <c r="A4926" t="inlineStr">
        <is>
          <t>A 7563-2023</t>
        </is>
      </c>
      <c r="B4926" s="1" t="n">
        <v>44967</v>
      </c>
      <c r="C4926" s="1" t="n">
        <v>45211</v>
      </c>
      <c r="D4926" t="inlineStr">
        <is>
          <t>ÖSTERGÖTLANDS LÄN</t>
        </is>
      </c>
      <c r="E4926" t="inlineStr">
        <is>
          <t>KINDA</t>
        </is>
      </c>
      <c r="G4926" t="n">
        <v>1.2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s="2" t="inlineStr"/>
    </row>
    <row r="4927" ht="15" customHeight="1">
      <c r="A4927" t="inlineStr">
        <is>
          <t>A 7702-2023</t>
        </is>
      </c>
      <c r="B4927" s="1" t="n">
        <v>44967</v>
      </c>
      <c r="C4927" s="1" t="n">
        <v>45211</v>
      </c>
      <c r="D4927" t="inlineStr">
        <is>
          <t>ÖSTERGÖTLANDS LÄN</t>
        </is>
      </c>
      <c r="E4927" t="inlineStr">
        <is>
          <t>LINKÖPING</t>
        </is>
      </c>
      <c r="F4927" t="inlineStr">
        <is>
          <t>Övriga statliga verk och myndigheter</t>
        </is>
      </c>
      <c r="G4927" t="n">
        <v>8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s="2" t="inlineStr"/>
    </row>
    <row r="4928" ht="15" customHeight="1">
      <c r="A4928" t="inlineStr">
        <is>
          <t>A 7116-2023</t>
        </is>
      </c>
      <c r="B4928" s="1" t="n">
        <v>44970</v>
      </c>
      <c r="C4928" s="1" t="n">
        <v>45211</v>
      </c>
      <c r="D4928" t="inlineStr">
        <is>
          <t>ÖSTERGÖTLANDS LÄN</t>
        </is>
      </c>
      <c r="E4928" t="inlineStr">
        <is>
          <t>NORRKÖPING</t>
        </is>
      </c>
      <c r="F4928" t="inlineStr">
        <is>
          <t>Holmen skog AB</t>
        </is>
      </c>
      <c r="G4928" t="n">
        <v>1.5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s="2" t="inlineStr"/>
    </row>
    <row r="4929" ht="15" customHeight="1">
      <c r="A4929" t="inlineStr">
        <is>
          <t>A 7265-2023</t>
        </is>
      </c>
      <c r="B4929" s="1" t="n">
        <v>44970</v>
      </c>
      <c r="C4929" s="1" t="n">
        <v>45211</v>
      </c>
      <c r="D4929" t="inlineStr">
        <is>
          <t>ÖSTERGÖTLANDS LÄN</t>
        </is>
      </c>
      <c r="E4929" t="inlineStr">
        <is>
          <t>NORRKÖPING</t>
        </is>
      </c>
      <c r="G4929" t="n">
        <v>5.9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s="2" t="inlineStr"/>
    </row>
    <row r="4930" ht="15" customHeight="1">
      <c r="A4930" t="inlineStr">
        <is>
          <t>A 7844-2023</t>
        </is>
      </c>
      <c r="B4930" s="1" t="n">
        <v>44970</v>
      </c>
      <c r="C4930" s="1" t="n">
        <v>45211</v>
      </c>
      <c r="D4930" t="inlineStr">
        <is>
          <t>ÖSTERGÖTLANDS LÄN</t>
        </is>
      </c>
      <c r="E4930" t="inlineStr">
        <is>
          <t>KINDA</t>
        </is>
      </c>
      <c r="G4930" t="n">
        <v>4.2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s="2" t="inlineStr"/>
    </row>
    <row r="4931" ht="15" customHeight="1">
      <c r="A4931" t="inlineStr">
        <is>
          <t>A 7254-2023</t>
        </is>
      </c>
      <c r="B4931" s="1" t="n">
        <v>44970</v>
      </c>
      <c r="C4931" s="1" t="n">
        <v>45211</v>
      </c>
      <c r="D4931" t="inlineStr">
        <is>
          <t>ÖSTERGÖTLANDS LÄN</t>
        </is>
      </c>
      <c r="E4931" t="inlineStr">
        <is>
          <t>VALDEMARSVIK</t>
        </is>
      </c>
      <c r="G4931" t="n">
        <v>1.8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s="2" t="inlineStr"/>
    </row>
    <row r="4932" ht="15" customHeight="1">
      <c r="A4932" t="inlineStr">
        <is>
          <t>A 7270-2023</t>
        </is>
      </c>
      <c r="B4932" s="1" t="n">
        <v>44970</v>
      </c>
      <c r="C4932" s="1" t="n">
        <v>45211</v>
      </c>
      <c r="D4932" t="inlineStr">
        <is>
          <t>ÖSTERGÖTLANDS LÄN</t>
        </is>
      </c>
      <c r="E4932" t="inlineStr">
        <is>
          <t>VALDEMARSVIK</t>
        </is>
      </c>
      <c r="G4932" t="n">
        <v>0.7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s="2" t="inlineStr"/>
    </row>
    <row r="4933" ht="15" customHeight="1">
      <c r="A4933" t="inlineStr">
        <is>
          <t>A 7143-2023</t>
        </is>
      </c>
      <c r="B4933" s="1" t="n">
        <v>44970</v>
      </c>
      <c r="C4933" s="1" t="n">
        <v>45211</v>
      </c>
      <c r="D4933" t="inlineStr">
        <is>
          <t>ÖSTERGÖTLANDS LÄN</t>
        </is>
      </c>
      <c r="E4933" t="inlineStr">
        <is>
          <t>ÅTVIDABERG</t>
        </is>
      </c>
      <c r="G4933" t="n">
        <v>20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s="2" t="inlineStr"/>
    </row>
    <row r="4934" ht="15" customHeight="1">
      <c r="A4934" t="inlineStr">
        <is>
          <t>A 7169-2023</t>
        </is>
      </c>
      <c r="B4934" s="1" t="n">
        <v>44970</v>
      </c>
      <c r="C4934" s="1" t="n">
        <v>45211</v>
      </c>
      <c r="D4934" t="inlineStr">
        <is>
          <t>ÖSTERGÖTLANDS LÄN</t>
        </is>
      </c>
      <c r="E4934" t="inlineStr">
        <is>
          <t>ÅTVIDABERG</t>
        </is>
      </c>
      <c r="G4934" t="n">
        <v>0.6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s="2" t="inlineStr"/>
    </row>
    <row r="4935" ht="15" customHeight="1">
      <c r="A4935" t="inlineStr">
        <is>
          <t>A 7266-2023</t>
        </is>
      </c>
      <c r="B4935" s="1" t="n">
        <v>44970</v>
      </c>
      <c r="C4935" s="1" t="n">
        <v>45211</v>
      </c>
      <c r="D4935" t="inlineStr">
        <is>
          <t>ÖSTERGÖTLANDS LÄN</t>
        </is>
      </c>
      <c r="E4935" t="inlineStr">
        <is>
          <t>VALDEMARSVIK</t>
        </is>
      </c>
      <c r="G4935" t="n">
        <v>3.4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s="2" t="inlineStr"/>
    </row>
    <row r="4936" ht="15" customHeight="1">
      <c r="A4936" t="inlineStr">
        <is>
          <t>A 7992-2023</t>
        </is>
      </c>
      <c r="B4936" s="1" t="n">
        <v>44970</v>
      </c>
      <c r="C4936" s="1" t="n">
        <v>45211</v>
      </c>
      <c r="D4936" t="inlineStr">
        <is>
          <t>ÖSTERGÖTLANDS LÄN</t>
        </is>
      </c>
      <c r="E4936" t="inlineStr">
        <is>
          <t>LINKÖPING</t>
        </is>
      </c>
      <c r="F4936" t="inlineStr">
        <is>
          <t>Kommuner</t>
        </is>
      </c>
      <c r="G4936" t="n">
        <v>1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s="2" t="inlineStr"/>
    </row>
    <row r="4937" ht="15" customHeight="1">
      <c r="A4937" t="inlineStr">
        <is>
          <t>A 7458-2023</t>
        </is>
      </c>
      <c r="B4937" s="1" t="n">
        <v>44971</v>
      </c>
      <c r="C4937" s="1" t="n">
        <v>45211</v>
      </c>
      <c r="D4937" t="inlineStr">
        <is>
          <t>ÖSTERGÖTLANDS LÄN</t>
        </is>
      </c>
      <c r="E4937" t="inlineStr">
        <is>
          <t>YDRE</t>
        </is>
      </c>
      <c r="F4937" t="inlineStr">
        <is>
          <t>Sveaskog</t>
        </is>
      </c>
      <c r="G4937" t="n">
        <v>3.3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s="2" t="inlineStr"/>
    </row>
    <row r="4938" ht="15" customHeight="1">
      <c r="A4938" t="inlineStr">
        <is>
          <t>A 7337-2023</t>
        </is>
      </c>
      <c r="B4938" s="1" t="n">
        <v>44971</v>
      </c>
      <c r="C4938" s="1" t="n">
        <v>45211</v>
      </c>
      <c r="D4938" t="inlineStr">
        <is>
          <t>ÖSTERGÖTLANDS LÄN</t>
        </is>
      </c>
      <c r="E4938" t="inlineStr">
        <is>
          <t>MJÖLBY</t>
        </is>
      </c>
      <c r="G4938" t="n">
        <v>2.7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s="2" t="inlineStr"/>
    </row>
    <row r="4939" ht="15" customHeight="1">
      <c r="A4939" t="inlineStr">
        <is>
          <t>A 7345-2023</t>
        </is>
      </c>
      <c r="B4939" s="1" t="n">
        <v>44971</v>
      </c>
      <c r="C4939" s="1" t="n">
        <v>45211</v>
      </c>
      <c r="D4939" t="inlineStr">
        <is>
          <t>ÖSTERGÖTLANDS LÄN</t>
        </is>
      </c>
      <c r="E4939" t="inlineStr">
        <is>
          <t>MOTALA</t>
        </is>
      </c>
      <c r="F4939" t="inlineStr">
        <is>
          <t>Kyrkan</t>
        </is>
      </c>
      <c r="G4939" t="n">
        <v>6.6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s="2" t="inlineStr"/>
    </row>
    <row r="4940" ht="15" customHeight="1">
      <c r="A4940" t="inlineStr">
        <is>
          <t>A 7582-2023</t>
        </is>
      </c>
      <c r="B4940" s="1" t="n">
        <v>44972</v>
      </c>
      <c r="C4940" s="1" t="n">
        <v>45211</v>
      </c>
      <c r="D4940" t="inlineStr">
        <is>
          <t>ÖSTERGÖTLANDS LÄN</t>
        </is>
      </c>
      <c r="E4940" t="inlineStr">
        <is>
          <t>VALDEMARSVIK</t>
        </is>
      </c>
      <c r="G4940" t="n">
        <v>3.4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s="2" t="inlineStr"/>
    </row>
    <row r="4941" ht="15" customHeight="1">
      <c r="A4941" t="inlineStr">
        <is>
          <t>A 7691-2023</t>
        </is>
      </c>
      <c r="B4941" s="1" t="n">
        <v>44972</v>
      </c>
      <c r="C4941" s="1" t="n">
        <v>45211</v>
      </c>
      <c r="D4941" t="inlineStr">
        <is>
          <t>ÖSTERGÖTLANDS LÄN</t>
        </is>
      </c>
      <c r="E4941" t="inlineStr">
        <is>
          <t>KINDA</t>
        </is>
      </c>
      <c r="G4941" t="n">
        <v>3.6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s="2" t="inlineStr"/>
    </row>
    <row r="4942" ht="15" customHeight="1">
      <c r="A4942" t="inlineStr">
        <is>
          <t>A 7609-2023</t>
        </is>
      </c>
      <c r="B4942" s="1" t="n">
        <v>44972</v>
      </c>
      <c r="C4942" s="1" t="n">
        <v>45211</v>
      </c>
      <c r="D4942" t="inlineStr">
        <is>
          <t>ÖSTERGÖTLANDS LÄN</t>
        </is>
      </c>
      <c r="E4942" t="inlineStr">
        <is>
          <t>ÅTVIDABERG</t>
        </is>
      </c>
      <c r="G4942" t="n">
        <v>1.5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s="2" t="inlineStr"/>
    </row>
    <row r="4943" ht="15" customHeight="1">
      <c r="A4943" t="inlineStr">
        <is>
          <t>A 7976-2023</t>
        </is>
      </c>
      <c r="B4943" s="1" t="n">
        <v>44973</v>
      </c>
      <c r="C4943" s="1" t="n">
        <v>45211</v>
      </c>
      <c r="D4943" t="inlineStr">
        <is>
          <t>ÖSTERGÖTLANDS LÄN</t>
        </is>
      </c>
      <c r="E4943" t="inlineStr">
        <is>
          <t>ÅTVIDABERG</t>
        </is>
      </c>
      <c r="G4943" t="n">
        <v>1.9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s="2" t="inlineStr"/>
    </row>
    <row r="4944" ht="15" customHeight="1">
      <c r="A4944" t="inlineStr">
        <is>
          <t>A 7743-2023</t>
        </is>
      </c>
      <c r="B4944" s="1" t="n">
        <v>44973</v>
      </c>
      <c r="C4944" s="1" t="n">
        <v>45211</v>
      </c>
      <c r="D4944" t="inlineStr">
        <is>
          <t>ÖSTERGÖTLANDS LÄN</t>
        </is>
      </c>
      <c r="E4944" t="inlineStr">
        <is>
          <t>FINSPÅNG</t>
        </is>
      </c>
      <c r="F4944" t="inlineStr">
        <is>
          <t>Holmen skog AB</t>
        </is>
      </c>
      <c r="G4944" t="n">
        <v>1.2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s="2" t="inlineStr"/>
    </row>
    <row r="4945" ht="15" customHeight="1">
      <c r="A4945" t="inlineStr">
        <is>
          <t>A 7937-2023</t>
        </is>
      </c>
      <c r="B4945" s="1" t="n">
        <v>44973</v>
      </c>
      <c r="C4945" s="1" t="n">
        <v>45211</v>
      </c>
      <c r="D4945" t="inlineStr">
        <is>
          <t>ÖSTERGÖTLANDS LÄN</t>
        </is>
      </c>
      <c r="E4945" t="inlineStr">
        <is>
          <t>MOTALA</t>
        </is>
      </c>
      <c r="F4945" t="inlineStr">
        <is>
          <t>Allmännings- och besparingsskogar</t>
        </is>
      </c>
      <c r="G4945" t="n">
        <v>9.4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s="2" t="inlineStr"/>
    </row>
    <row r="4946" ht="15" customHeight="1">
      <c r="A4946" t="inlineStr">
        <is>
          <t>A 8188-2023</t>
        </is>
      </c>
      <c r="B4946" s="1" t="n">
        <v>44974</v>
      </c>
      <c r="C4946" s="1" t="n">
        <v>45211</v>
      </c>
      <c r="D4946" t="inlineStr">
        <is>
          <t>ÖSTERGÖTLANDS LÄN</t>
        </is>
      </c>
      <c r="E4946" t="inlineStr">
        <is>
          <t>KINDA</t>
        </is>
      </c>
      <c r="F4946" t="inlineStr">
        <is>
          <t>Sveaskog</t>
        </is>
      </c>
      <c r="G4946" t="n">
        <v>8.5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s="2" t="inlineStr"/>
    </row>
    <row r="4947" ht="15" customHeight="1">
      <c r="A4947" t="inlineStr">
        <is>
          <t>A 8259-2023</t>
        </is>
      </c>
      <c r="B4947" s="1" t="n">
        <v>44974</v>
      </c>
      <c r="C4947" s="1" t="n">
        <v>45211</v>
      </c>
      <c r="D4947" t="inlineStr">
        <is>
          <t>ÖSTERGÖTLANDS LÄN</t>
        </is>
      </c>
      <c r="E4947" t="inlineStr">
        <is>
          <t>ÖDESHÖG</t>
        </is>
      </c>
      <c r="G4947" t="n">
        <v>3.5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s="2" t="inlineStr"/>
    </row>
    <row r="4948" ht="15" customHeight="1">
      <c r="A4948" t="inlineStr">
        <is>
          <t>A 8256-2023</t>
        </is>
      </c>
      <c r="B4948" s="1" t="n">
        <v>44974</v>
      </c>
      <c r="C4948" s="1" t="n">
        <v>45211</v>
      </c>
      <c r="D4948" t="inlineStr">
        <is>
          <t>ÖSTERGÖTLANDS LÄN</t>
        </is>
      </c>
      <c r="E4948" t="inlineStr">
        <is>
          <t>ÖDESHÖG</t>
        </is>
      </c>
      <c r="G4948" t="n">
        <v>1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s="2" t="inlineStr"/>
    </row>
    <row r="4949" ht="15" customHeight="1">
      <c r="A4949" t="inlineStr">
        <is>
          <t>A 8189-2023</t>
        </is>
      </c>
      <c r="B4949" s="1" t="n">
        <v>44974</v>
      </c>
      <c r="C4949" s="1" t="n">
        <v>45211</v>
      </c>
      <c r="D4949" t="inlineStr">
        <is>
          <t>ÖSTERGÖTLANDS LÄN</t>
        </is>
      </c>
      <c r="E4949" t="inlineStr">
        <is>
          <t>KINDA</t>
        </is>
      </c>
      <c r="F4949" t="inlineStr">
        <is>
          <t>Sveaskog</t>
        </is>
      </c>
      <c r="G4949" t="n">
        <v>2.8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s="2" t="inlineStr"/>
    </row>
    <row r="4950" ht="15" customHeight="1">
      <c r="A4950" t="inlineStr">
        <is>
          <t>A 8143-2023</t>
        </is>
      </c>
      <c r="B4950" s="1" t="n">
        <v>44974</v>
      </c>
      <c r="C4950" s="1" t="n">
        <v>45211</v>
      </c>
      <c r="D4950" t="inlineStr">
        <is>
          <t>ÖSTERGÖTLANDS LÄN</t>
        </is>
      </c>
      <c r="E4950" t="inlineStr">
        <is>
          <t>VALDEMARSVIK</t>
        </is>
      </c>
      <c r="G4950" t="n">
        <v>0.7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s="2" t="inlineStr"/>
    </row>
    <row r="4951" ht="15" customHeight="1">
      <c r="A4951" t="inlineStr">
        <is>
          <t>A 8245-2023</t>
        </is>
      </c>
      <c r="B4951" s="1" t="n">
        <v>44974</v>
      </c>
      <c r="C4951" s="1" t="n">
        <v>45211</v>
      </c>
      <c r="D4951" t="inlineStr">
        <is>
          <t>ÖSTERGÖTLANDS LÄN</t>
        </is>
      </c>
      <c r="E4951" t="inlineStr">
        <is>
          <t>NORRKÖPING</t>
        </is>
      </c>
      <c r="F4951" t="inlineStr">
        <is>
          <t>Holmen skog AB</t>
        </is>
      </c>
      <c r="G4951" t="n">
        <v>1.7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s="2" t="inlineStr"/>
    </row>
    <row r="4952" ht="15" customHeight="1">
      <c r="A4952" t="inlineStr">
        <is>
          <t>A 8987-2023</t>
        </is>
      </c>
      <c r="B4952" s="1" t="n">
        <v>44974</v>
      </c>
      <c r="C4952" s="1" t="n">
        <v>45211</v>
      </c>
      <c r="D4952" t="inlineStr">
        <is>
          <t>ÖSTERGÖTLANDS LÄN</t>
        </is>
      </c>
      <c r="E4952" t="inlineStr">
        <is>
          <t>NORRKÖPING</t>
        </is>
      </c>
      <c r="F4952" t="inlineStr">
        <is>
          <t>Allmännings- och besparingsskogar</t>
        </is>
      </c>
      <c r="G4952" t="n">
        <v>0.5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s="2" t="inlineStr"/>
    </row>
    <row r="4953" ht="15" customHeight="1">
      <c r="A4953" t="inlineStr">
        <is>
          <t>A 9203-2023</t>
        </is>
      </c>
      <c r="B4953" s="1" t="n">
        <v>44977</v>
      </c>
      <c r="C4953" s="1" t="n">
        <v>45211</v>
      </c>
      <c r="D4953" t="inlineStr">
        <is>
          <t>ÖSTERGÖTLANDS LÄN</t>
        </is>
      </c>
      <c r="E4953" t="inlineStr">
        <is>
          <t>KINDA</t>
        </is>
      </c>
      <c r="G4953" t="n">
        <v>1.5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s="2" t="inlineStr"/>
    </row>
    <row r="4954" ht="15" customHeight="1">
      <c r="A4954" t="inlineStr">
        <is>
          <t>A 8433-2023</t>
        </is>
      </c>
      <c r="B4954" s="1" t="n">
        <v>44977</v>
      </c>
      <c r="C4954" s="1" t="n">
        <v>45211</v>
      </c>
      <c r="D4954" t="inlineStr">
        <is>
          <t>ÖSTERGÖTLANDS LÄN</t>
        </is>
      </c>
      <c r="E4954" t="inlineStr">
        <is>
          <t>NORRKÖPING</t>
        </is>
      </c>
      <c r="F4954" t="inlineStr">
        <is>
          <t>Holmen skog AB</t>
        </is>
      </c>
      <c r="G4954" t="n">
        <v>3.6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s="2" t="inlineStr"/>
    </row>
    <row r="4955" ht="15" customHeight="1">
      <c r="A4955" t="inlineStr">
        <is>
          <t>A 8444-2023</t>
        </is>
      </c>
      <c r="B4955" s="1" t="n">
        <v>44977</v>
      </c>
      <c r="C4955" s="1" t="n">
        <v>45211</v>
      </c>
      <c r="D4955" t="inlineStr">
        <is>
          <t>ÖSTERGÖTLANDS LÄN</t>
        </is>
      </c>
      <c r="E4955" t="inlineStr">
        <is>
          <t>NORRKÖPING</t>
        </is>
      </c>
      <c r="F4955" t="inlineStr">
        <is>
          <t>Holmen skog AB</t>
        </is>
      </c>
      <c r="G4955" t="n">
        <v>1.9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s="2" t="inlineStr"/>
    </row>
    <row r="4956" ht="15" customHeight="1">
      <c r="A4956" t="inlineStr">
        <is>
          <t>A 8398-2023</t>
        </is>
      </c>
      <c r="B4956" s="1" t="n">
        <v>44977</v>
      </c>
      <c r="C4956" s="1" t="n">
        <v>45211</v>
      </c>
      <c r="D4956" t="inlineStr">
        <is>
          <t>ÖSTERGÖTLANDS LÄN</t>
        </is>
      </c>
      <c r="E4956" t="inlineStr">
        <is>
          <t>NORRKÖPING</t>
        </is>
      </c>
      <c r="F4956" t="inlineStr">
        <is>
          <t>Holmen skog AB</t>
        </is>
      </c>
      <c r="G4956" t="n">
        <v>1.5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s="2" t="inlineStr"/>
    </row>
    <row r="4957" ht="15" customHeight="1">
      <c r="A4957" t="inlineStr">
        <is>
          <t>A 8454-2023</t>
        </is>
      </c>
      <c r="B4957" s="1" t="n">
        <v>44977</v>
      </c>
      <c r="C4957" s="1" t="n">
        <v>45211</v>
      </c>
      <c r="D4957" t="inlineStr">
        <is>
          <t>ÖSTERGÖTLANDS LÄN</t>
        </is>
      </c>
      <c r="E4957" t="inlineStr">
        <is>
          <t>NORRKÖPING</t>
        </is>
      </c>
      <c r="G4957" t="n">
        <v>2.8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s="2" t="inlineStr"/>
    </row>
    <row r="4958" ht="15" customHeight="1">
      <c r="A4958" t="inlineStr">
        <is>
          <t>A 8508-2023</t>
        </is>
      </c>
      <c r="B4958" s="1" t="n">
        <v>44977</v>
      </c>
      <c r="C4958" s="1" t="n">
        <v>45211</v>
      </c>
      <c r="D4958" t="inlineStr">
        <is>
          <t>ÖSTERGÖTLANDS LÄN</t>
        </is>
      </c>
      <c r="E4958" t="inlineStr">
        <is>
          <t>KINDA</t>
        </is>
      </c>
      <c r="G4958" t="n">
        <v>2.7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s="2" t="inlineStr"/>
    </row>
    <row r="4959" ht="15" customHeight="1">
      <c r="A4959" t="inlineStr">
        <is>
          <t>A 8596-2023</t>
        </is>
      </c>
      <c r="B4959" s="1" t="n">
        <v>44977</v>
      </c>
      <c r="C4959" s="1" t="n">
        <v>45211</v>
      </c>
      <c r="D4959" t="inlineStr">
        <is>
          <t>ÖSTERGÖTLANDS LÄN</t>
        </is>
      </c>
      <c r="E4959" t="inlineStr">
        <is>
          <t>NORRKÖPING</t>
        </is>
      </c>
      <c r="F4959" t="inlineStr">
        <is>
          <t>Holmen skog AB</t>
        </is>
      </c>
      <c r="G4959" t="n">
        <v>0.9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s="2" t="inlineStr"/>
    </row>
    <row r="4960" ht="15" customHeight="1">
      <c r="A4960" t="inlineStr">
        <is>
          <t>A 8602-2023</t>
        </is>
      </c>
      <c r="B4960" s="1" t="n">
        <v>44977</v>
      </c>
      <c r="C4960" s="1" t="n">
        <v>45211</v>
      </c>
      <c r="D4960" t="inlineStr">
        <is>
          <t>ÖSTERGÖTLANDS LÄN</t>
        </is>
      </c>
      <c r="E4960" t="inlineStr">
        <is>
          <t>NORRKÖPING</t>
        </is>
      </c>
      <c r="F4960" t="inlineStr">
        <is>
          <t>Holmen skog AB</t>
        </is>
      </c>
      <c r="G4960" t="n">
        <v>1.4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s="2" t="inlineStr"/>
    </row>
    <row r="4961" ht="15" customHeight="1">
      <c r="A4961" t="inlineStr">
        <is>
          <t>A 9952-2023</t>
        </is>
      </c>
      <c r="B4961" s="1" t="n">
        <v>44978</v>
      </c>
      <c r="C4961" s="1" t="n">
        <v>45211</v>
      </c>
      <c r="D4961" t="inlineStr">
        <is>
          <t>ÖSTERGÖTLANDS LÄN</t>
        </is>
      </c>
      <c r="E4961" t="inlineStr">
        <is>
          <t>KINDA</t>
        </is>
      </c>
      <c r="G4961" t="n">
        <v>1.6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s="2" t="inlineStr"/>
    </row>
    <row r="4962" ht="15" customHeight="1">
      <c r="A4962" t="inlineStr">
        <is>
          <t>A 8799-2023</t>
        </is>
      </c>
      <c r="B4962" s="1" t="n">
        <v>44978</v>
      </c>
      <c r="C4962" s="1" t="n">
        <v>45211</v>
      </c>
      <c r="D4962" t="inlineStr">
        <is>
          <t>ÖSTERGÖTLANDS LÄN</t>
        </is>
      </c>
      <c r="E4962" t="inlineStr">
        <is>
          <t>SÖDERKÖPING</t>
        </is>
      </c>
      <c r="F4962" t="inlineStr">
        <is>
          <t>Allmännings- och besparingsskogar</t>
        </is>
      </c>
      <c r="G4962" t="n">
        <v>3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s="2" t="inlineStr"/>
    </row>
    <row r="4963" ht="15" customHeight="1">
      <c r="A4963" t="inlineStr">
        <is>
          <t>A 9940-2023</t>
        </is>
      </c>
      <c r="B4963" s="1" t="n">
        <v>44978</v>
      </c>
      <c r="C4963" s="1" t="n">
        <v>45211</v>
      </c>
      <c r="D4963" t="inlineStr">
        <is>
          <t>ÖSTERGÖTLANDS LÄN</t>
        </is>
      </c>
      <c r="E4963" t="inlineStr">
        <is>
          <t>KINDA</t>
        </is>
      </c>
      <c r="G4963" t="n">
        <v>6.6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s="2" t="inlineStr"/>
    </row>
    <row r="4964" ht="15" customHeight="1">
      <c r="A4964" t="inlineStr">
        <is>
          <t>A 9002-2023</t>
        </is>
      </c>
      <c r="B4964" s="1" t="n">
        <v>44979</v>
      </c>
      <c r="C4964" s="1" t="n">
        <v>45211</v>
      </c>
      <c r="D4964" t="inlineStr">
        <is>
          <t>ÖSTERGÖTLANDS LÄN</t>
        </is>
      </c>
      <c r="E4964" t="inlineStr">
        <is>
          <t>SÖDERKÖPING</t>
        </is>
      </c>
      <c r="F4964" t="inlineStr">
        <is>
          <t>Allmännings- och besparingsskogar</t>
        </is>
      </c>
      <c r="G4964" t="n">
        <v>3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s="2" t="inlineStr"/>
    </row>
    <row r="4965" ht="15" customHeight="1">
      <c r="A4965" t="inlineStr">
        <is>
          <t>A 8998-2023</t>
        </is>
      </c>
      <c r="B4965" s="1" t="n">
        <v>44979</v>
      </c>
      <c r="C4965" s="1" t="n">
        <v>45211</v>
      </c>
      <c r="D4965" t="inlineStr">
        <is>
          <t>ÖSTERGÖTLANDS LÄN</t>
        </is>
      </c>
      <c r="E4965" t="inlineStr">
        <is>
          <t>ÖDESHÖG</t>
        </is>
      </c>
      <c r="G4965" t="n">
        <v>2.1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s="2" t="inlineStr"/>
    </row>
    <row r="4966" ht="15" customHeight="1">
      <c r="A4966" t="inlineStr">
        <is>
          <t>A 9256-2023</t>
        </is>
      </c>
      <c r="B4966" s="1" t="n">
        <v>44980</v>
      </c>
      <c r="C4966" s="1" t="n">
        <v>45211</v>
      </c>
      <c r="D4966" t="inlineStr">
        <is>
          <t>ÖSTERGÖTLANDS LÄN</t>
        </is>
      </c>
      <c r="E4966" t="inlineStr">
        <is>
          <t>ÅTVIDABERG</t>
        </is>
      </c>
      <c r="G4966" t="n">
        <v>4.3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s="2" t="inlineStr"/>
    </row>
    <row r="4967" ht="15" customHeight="1">
      <c r="A4967" t="inlineStr">
        <is>
          <t>A 9292-2023</t>
        </is>
      </c>
      <c r="B4967" s="1" t="n">
        <v>44980</v>
      </c>
      <c r="C4967" s="1" t="n">
        <v>45211</v>
      </c>
      <c r="D4967" t="inlineStr">
        <is>
          <t>ÖSTERGÖTLANDS LÄN</t>
        </is>
      </c>
      <c r="E4967" t="inlineStr">
        <is>
          <t>VALDEMARSVIK</t>
        </is>
      </c>
      <c r="G4967" t="n">
        <v>6.4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s="2" t="inlineStr"/>
    </row>
    <row r="4968" ht="15" customHeight="1">
      <c r="A4968" t="inlineStr">
        <is>
          <t>A 9233-2023</t>
        </is>
      </c>
      <c r="B4968" s="1" t="n">
        <v>44980</v>
      </c>
      <c r="C4968" s="1" t="n">
        <v>45211</v>
      </c>
      <c r="D4968" t="inlineStr">
        <is>
          <t>ÖSTERGÖTLANDS LÄN</t>
        </is>
      </c>
      <c r="E4968" t="inlineStr">
        <is>
          <t>NORRKÖPING</t>
        </is>
      </c>
      <c r="F4968" t="inlineStr">
        <is>
          <t>Holmen skog AB</t>
        </is>
      </c>
      <c r="G4968" t="n">
        <v>0.5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s="2" t="inlineStr"/>
    </row>
    <row r="4969" ht="15" customHeight="1">
      <c r="A4969" t="inlineStr">
        <is>
          <t>A 9251-2023</t>
        </is>
      </c>
      <c r="B4969" s="1" t="n">
        <v>44980</v>
      </c>
      <c r="C4969" s="1" t="n">
        <v>45211</v>
      </c>
      <c r="D4969" t="inlineStr">
        <is>
          <t>ÖSTERGÖTLANDS LÄN</t>
        </is>
      </c>
      <c r="E4969" t="inlineStr">
        <is>
          <t>FINSPÅNG</t>
        </is>
      </c>
      <c r="F4969" t="inlineStr">
        <is>
          <t>Holmen skog AB</t>
        </is>
      </c>
      <c r="G4969" t="n">
        <v>2.1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s="2" t="inlineStr"/>
    </row>
    <row r="4970" ht="15" customHeight="1">
      <c r="A4970" t="inlineStr">
        <is>
          <t>A 9120-2023</t>
        </is>
      </c>
      <c r="B4970" s="1" t="n">
        <v>44980</v>
      </c>
      <c r="C4970" s="1" t="n">
        <v>45211</v>
      </c>
      <c r="D4970" t="inlineStr">
        <is>
          <t>ÖSTERGÖTLANDS LÄN</t>
        </is>
      </c>
      <c r="E4970" t="inlineStr">
        <is>
          <t>NORRKÖPING</t>
        </is>
      </c>
      <c r="G4970" t="n">
        <v>6.3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s="2" t="inlineStr"/>
    </row>
    <row r="4971" ht="15" customHeight="1">
      <c r="A4971" t="inlineStr">
        <is>
          <t>A 9201-2023</t>
        </is>
      </c>
      <c r="B4971" s="1" t="n">
        <v>44980</v>
      </c>
      <c r="C4971" s="1" t="n">
        <v>45211</v>
      </c>
      <c r="D4971" t="inlineStr">
        <is>
          <t>ÖSTERGÖTLANDS LÄN</t>
        </is>
      </c>
      <c r="E4971" t="inlineStr">
        <is>
          <t>NORRKÖPING</t>
        </is>
      </c>
      <c r="F4971" t="inlineStr">
        <is>
          <t>Holmen skog AB</t>
        </is>
      </c>
      <c r="G4971" t="n">
        <v>0.5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s="2" t="inlineStr"/>
    </row>
    <row r="4972" ht="15" customHeight="1">
      <c r="A4972" t="inlineStr">
        <is>
          <t>A 9262-2023</t>
        </is>
      </c>
      <c r="B4972" s="1" t="n">
        <v>44980</v>
      </c>
      <c r="C4972" s="1" t="n">
        <v>45211</v>
      </c>
      <c r="D4972" t="inlineStr">
        <is>
          <t>ÖSTERGÖTLANDS LÄN</t>
        </is>
      </c>
      <c r="E4972" t="inlineStr">
        <is>
          <t>NORRKÖPING</t>
        </is>
      </c>
      <c r="F4972" t="inlineStr">
        <is>
          <t>Holmen skog AB</t>
        </is>
      </c>
      <c r="G4972" t="n">
        <v>6.4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s="2" t="inlineStr"/>
    </row>
    <row r="4973" ht="15" customHeight="1">
      <c r="A4973" t="inlineStr">
        <is>
          <t>A 10250-2023</t>
        </is>
      </c>
      <c r="B4973" s="1" t="n">
        <v>44980</v>
      </c>
      <c r="C4973" s="1" t="n">
        <v>45211</v>
      </c>
      <c r="D4973" t="inlineStr">
        <is>
          <t>ÖSTERGÖTLANDS LÄN</t>
        </is>
      </c>
      <c r="E4973" t="inlineStr">
        <is>
          <t>BOXHOLM</t>
        </is>
      </c>
      <c r="G4973" t="n">
        <v>0.8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s="2" t="inlineStr"/>
    </row>
    <row r="4974" ht="15" customHeight="1">
      <c r="A4974" t="inlineStr">
        <is>
          <t>A 10262-2023</t>
        </is>
      </c>
      <c r="B4974" s="1" t="n">
        <v>44980</v>
      </c>
      <c r="C4974" s="1" t="n">
        <v>45211</v>
      </c>
      <c r="D4974" t="inlineStr">
        <is>
          <t>ÖSTERGÖTLANDS LÄN</t>
        </is>
      </c>
      <c r="E4974" t="inlineStr">
        <is>
          <t>LINKÖPING</t>
        </is>
      </c>
      <c r="G4974" t="n">
        <v>1.7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s="2" t="inlineStr"/>
    </row>
    <row r="4975" ht="15" customHeight="1">
      <c r="A4975" t="inlineStr">
        <is>
          <t>A 9115-2023</t>
        </is>
      </c>
      <c r="B4975" s="1" t="n">
        <v>44980</v>
      </c>
      <c r="C4975" s="1" t="n">
        <v>45211</v>
      </c>
      <c r="D4975" t="inlineStr">
        <is>
          <t>ÖSTERGÖTLANDS LÄN</t>
        </is>
      </c>
      <c r="E4975" t="inlineStr">
        <is>
          <t>BOXHOLM</t>
        </is>
      </c>
      <c r="G4975" t="n">
        <v>2.7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s="2" t="inlineStr"/>
    </row>
    <row r="4976" ht="15" customHeight="1">
      <c r="A4976" t="inlineStr">
        <is>
          <t>A 9174-2023</t>
        </is>
      </c>
      <c r="B4976" s="1" t="n">
        <v>44980</v>
      </c>
      <c r="C4976" s="1" t="n">
        <v>45211</v>
      </c>
      <c r="D4976" t="inlineStr">
        <is>
          <t>ÖSTERGÖTLANDS LÄN</t>
        </is>
      </c>
      <c r="E4976" t="inlineStr">
        <is>
          <t>NORRKÖPING</t>
        </is>
      </c>
      <c r="F4976" t="inlineStr">
        <is>
          <t>Holmen skog AB</t>
        </is>
      </c>
      <c r="G4976" t="n">
        <v>1.4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s="2" t="inlineStr"/>
    </row>
    <row r="4977" ht="15" customHeight="1">
      <c r="A4977" t="inlineStr">
        <is>
          <t>A 9412-2023</t>
        </is>
      </c>
      <c r="B4977" s="1" t="n">
        <v>44981</v>
      </c>
      <c r="C4977" s="1" t="n">
        <v>45211</v>
      </c>
      <c r="D4977" t="inlineStr">
        <is>
          <t>ÖSTERGÖTLANDS LÄN</t>
        </is>
      </c>
      <c r="E4977" t="inlineStr">
        <is>
          <t>FINSPÅNG</t>
        </is>
      </c>
      <c r="F4977" t="inlineStr">
        <is>
          <t>Holmen skog AB</t>
        </is>
      </c>
      <c r="G4977" t="n">
        <v>0.5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s="2" t="inlineStr"/>
    </row>
    <row r="4978" ht="15" customHeight="1">
      <c r="A4978" t="inlineStr">
        <is>
          <t>A 9418-2023</t>
        </is>
      </c>
      <c r="B4978" s="1" t="n">
        <v>44981</v>
      </c>
      <c r="C4978" s="1" t="n">
        <v>45211</v>
      </c>
      <c r="D4978" t="inlineStr">
        <is>
          <t>ÖSTERGÖTLANDS LÄN</t>
        </is>
      </c>
      <c r="E4978" t="inlineStr">
        <is>
          <t>FINSPÅNG</t>
        </is>
      </c>
      <c r="F4978" t="inlineStr">
        <is>
          <t>Holmen skog AB</t>
        </is>
      </c>
      <c r="G4978" t="n">
        <v>0.7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s="2" t="inlineStr"/>
    </row>
    <row r="4979" ht="15" customHeight="1">
      <c r="A4979" t="inlineStr">
        <is>
          <t>A 10443-2023</t>
        </is>
      </c>
      <c r="B4979" s="1" t="n">
        <v>44981</v>
      </c>
      <c r="C4979" s="1" t="n">
        <v>45211</v>
      </c>
      <c r="D4979" t="inlineStr">
        <is>
          <t>ÖSTERGÖTLANDS LÄN</t>
        </is>
      </c>
      <c r="E4979" t="inlineStr">
        <is>
          <t>MOTALA</t>
        </is>
      </c>
      <c r="G4979" t="n">
        <v>3.4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s="2" t="inlineStr"/>
    </row>
    <row r="4980" ht="15" customHeight="1">
      <c r="A4980" t="inlineStr">
        <is>
          <t>A 9378-2023</t>
        </is>
      </c>
      <c r="B4980" s="1" t="n">
        <v>44981</v>
      </c>
      <c r="C4980" s="1" t="n">
        <v>45211</v>
      </c>
      <c r="D4980" t="inlineStr">
        <is>
          <t>ÖSTERGÖTLANDS LÄN</t>
        </is>
      </c>
      <c r="E4980" t="inlineStr">
        <is>
          <t>FINSPÅNG</t>
        </is>
      </c>
      <c r="F4980" t="inlineStr">
        <is>
          <t>Holmen skog AB</t>
        </is>
      </c>
      <c r="G4980" t="n">
        <v>0.7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s="2" t="inlineStr"/>
    </row>
    <row r="4981" ht="15" customHeight="1">
      <c r="A4981" t="inlineStr">
        <is>
          <t>A 9399-2023</t>
        </is>
      </c>
      <c r="B4981" s="1" t="n">
        <v>44981</v>
      </c>
      <c r="C4981" s="1" t="n">
        <v>45211</v>
      </c>
      <c r="D4981" t="inlineStr">
        <is>
          <t>ÖSTERGÖTLANDS LÄN</t>
        </is>
      </c>
      <c r="E4981" t="inlineStr">
        <is>
          <t>KINDA</t>
        </is>
      </c>
      <c r="G4981" t="n">
        <v>0.5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s="2" t="inlineStr"/>
    </row>
    <row r="4982" ht="15" customHeight="1">
      <c r="A4982" t="inlineStr">
        <is>
          <t>A 9512-2023</t>
        </is>
      </c>
      <c r="B4982" s="1" t="n">
        <v>44981</v>
      </c>
      <c r="C4982" s="1" t="n">
        <v>45211</v>
      </c>
      <c r="D4982" t="inlineStr">
        <is>
          <t>ÖSTERGÖTLANDS LÄN</t>
        </is>
      </c>
      <c r="E4982" t="inlineStr">
        <is>
          <t>NORRKÖPING</t>
        </is>
      </c>
      <c r="F4982" t="inlineStr">
        <is>
          <t>Holmen skog AB</t>
        </is>
      </c>
      <c r="G4982" t="n">
        <v>2.1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s="2" t="inlineStr"/>
    </row>
    <row r="4983" ht="15" customHeight="1">
      <c r="A4983" t="inlineStr">
        <is>
          <t>A 9509-2023</t>
        </is>
      </c>
      <c r="B4983" s="1" t="n">
        <v>44981</v>
      </c>
      <c r="C4983" s="1" t="n">
        <v>45211</v>
      </c>
      <c r="D4983" t="inlineStr">
        <is>
          <t>ÖSTERGÖTLANDS LÄN</t>
        </is>
      </c>
      <c r="E4983" t="inlineStr">
        <is>
          <t>KINDA</t>
        </is>
      </c>
      <c r="G4983" t="n">
        <v>1.9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s="2" t="inlineStr"/>
    </row>
    <row r="4984" ht="15" customHeight="1">
      <c r="A4984" t="inlineStr">
        <is>
          <t>A 10450-2023</t>
        </is>
      </c>
      <c r="B4984" s="1" t="n">
        <v>44981</v>
      </c>
      <c r="C4984" s="1" t="n">
        <v>45211</v>
      </c>
      <c r="D4984" t="inlineStr">
        <is>
          <t>ÖSTERGÖTLANDS LÄN</t>
        </is>
      </c>
      <c r="E4984" t="inlineStr">
        <is>
          <t>MJÖLBY</t>
        </is>
      </c>
      <c r="G4984" t="n">
        <v>8.199999999999999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s="2" t="inlineStr"/>
    </row>
    <row r="4985" ht="15" customHeight="1">
      <c r="A4985" t="inlineStr">
        <is>
          <t>A 9579-2023</t>
        </is>
      </c>
      <c r="B4985" s="1" t="n">
        <v>44982</v>
      </c>
      <c r="C4985" s="1" t="n">
        <v>45211</v>
      </c>
      <c r="D4985" t="inlineStr">
        <is>
          <t>ÖSTERGÖTLANDS LÄN</t>
        </is>
      </c>
      <c r="E4985" t="inlineStr">
        <is>
          <t>KINDA</t>
        </is>
      </c>
      <c r="G4985" t="n">
        <v>7.2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s="2" t="inlineStr"/>
    </row>
    <row r="4986" ht="15" customHeight="1">
      <c r="A4986" t="inlineStr">
        <is>
          <t>A 9594-2023</t>
        </is>
      </c>
      <c r="B4986" s="1" t="n">
        <v>44983</v>
      </c>
      <c r="C4986" s="1" t="n">
        <v>45211</v>
      </c>
      <c r="D4986" t="inlineStr">
        <is>
          <t>ÖSTERGÖTLANDS LÄN</t>
        </is>
      </c>
      <c r="E4986" t="inlineStr">
        <is>
          <t>NORRKÖPING</t>
        </is>
      </c>
      <c r="G4986" t="n">
        <v>4.5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s="2" t="inlineStr"/>
    </row>
    <row r="4987" ht="15" customHeight="1">
      <c r="A4987" t="inlineStr">
        <is>
          <t>A 9622-2023</t>
        </is>
      </c>
      <c r="B4987" s="1" t="n">
        <v>44984</v>
      </c>
      <c r="C4987" s="1" t="n">
        <v>45211</v>
      </c>
      <c r="D4987" t="inlineStr">
        <is>
          <t>ÖSTERGÖTLANDS LÄN</t>
        </is>
      </c>
      <c r="E4987" t="inlineStr">
        <is>
          <t>MOTALA</t>
        </is>
      </c>
      <c r="G4987" t="n">
        <v>2.7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s="2" t="inlineStr"/>
    </row>
    <row r="4988" ht="15" customHeight="1">
      <c r="A4988" t="inlineStr">
        <is>
          <t>A 9734-2023</t>
        </is>
      </c>
      <c r="B4988" s="1" t="n">
        <v>44984</v>
      </c>
      <c r="C4988" s="1" t="n">
        <v>45211</v>
      </c>
      <c r="D4988" t="inlineStr">
        <is>
          <t>ÖSTERGÖTLANDS LÄN</t>
        </is>
      </c>
      <c r="E4988" t="inlineStr">
        <is>
          <t>SÖDERKÖPING</t>
        </is>
      </c>
      <c r="F4988" t="inlineStr">
        <is>
          <t>Allmännings- och besparingsskogar</t>
        </is>
      </c>
      <c r="G4988" t="n">
        <v>6.7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s="2" t="inlineStr"/>
    </row>
    <row r="4989" ht="15" customHeight="1">
      <c r="A4989" t="inlineStr">
        <is>
          <t>A 9702-2023</t>
        </is>
      </c>
      <c r="B4989" s="1" t="n">
        <v>44984</v>
      </c>
      <c r="C4989" s="1" t="n">
        <v>45211</v>
      </c>
      <c r="D4989" t="inlineStr">
        <is>
          <t>ÖSTERGÖTLANDS LÄN</t>
        </is>
      </c>
      <c r="E4989" t="inlineStr">
        <is>
          <t>NORRKÖPING</t>
        </is>
      </c>
      <c r="F4989" t="inlineStr">
        <is>
          <t>Holmen skog AB</t>
        </is>
      </c>
      <c r="G4989" t="n">
        <v>0.7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s="2" t="inlineStr"/>
    </row>
    <row r="4990" ht="15" customHeight="1">
      <c r="A4990" t="inlineStr">
        <is>
          <t>A 9731-2023</t>
        </is>
      </c>
      <c r="B4990" s="1" t="n">
        <v>44984</v>
      </c>
      <c r="C4990" s="1" t="n">
        <v>45211</v>
      </c>
      <c r="D4990" t="inlineStr">
        <is>
          <t>ÖSTERGÖTLANDS LÄN</t>
        </is>
      </c>
      <c r="E4990" t="inlineStr">
        <is>
          <t>SÖDERKÖPING</t>
        </is>
      </c>
      <c r="G4990" t="n">
        <v>4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s="2" t="inlineStr"/>
    </row>
    <row r="4991" ht="15" customHeight="1">
      <c r="A4991" t="inlineStr">
        <is>
          <t>A 9729-2023</t>
        </is>
      </c>
      <c r="B4991" s="1" t="n">
        <v>44984</v>
      </c>
      <c r="C4991" s="1" t="n">
        <v>45211</v>
      </c>
      <c r="D4991" t="inlineStr">
        <is>
          <t>ÖSTERGÖTLANDS LÄN</t>
        </is>
      </c>
      <c r="E4991" t="inlineStr">
        <is>
          <t>SÖDERKÖPING</t>
        </is>
      </c>
      <c r="G4991" t="n">
        <v>13.8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s="2" t="inlineStr"/>
    </row>
    <row r="4992" ht="15" customHeight="1">
      <c r="A4992" t="inlineStr">
        <is>
          <t>A 9736-2023</t>
        </is>
      </c>
      <c r="B4992" s="1" t="n">
        <v>44984</v>
      </c>
      <c r="C4992" s="1" t="n">
        <v>45211</v>
      </c>
      <c r="D4992" t="inlineStr">
        <is>
          <t>ÖSTERGÖTLANDS LÄN</t>
        </is>
      </c>
      <c r="E4992" t="inlineStr">
        <is>
          <t>SÖDERKÖPING</t>
        </is>
      </c>
      <c r="F4992" t="inlineStr">
        <is>
          <t>Allmännings- och besparingsskogar</t>
        </is>
      </c>
      <c r="G4992" t="n">
        <v>7.4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s="2" t="inlineStr"/>
    </row>
    <row r="4993" ht="15" customHeight="1">
      <c r="A4993" t="inlineStr">
        <is>
          <t>A 9971-2023</t>
        </is>
      </c>
      <c r="B4993" s="1" t="n">
        <v>44985</v>
      </c>
      <c r="C4993" s="1" t="n">
        <v>45211</v>
      </c>
      <c r="D4993" t="inlineStr">
        <is>
          <t>ÖSTERGÖTLANDS LÄN</t>
        </is>
      </c>
      <c r="E4993" t="inlineStr">
        <is>
          <t>VALDEMARSVIK</t>
        </is>
      </c>
      <c r="G4993" t="n">
        <v>4.6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s="2" t="inlineStr"/>
    </row>
    <row r="4994" ht="15" customHeight="1">
      <c r="A4994" t="inlineStr">
        <is>
          <t>A 9989-2023</t>
        </is>
      </c>
      <c r="B4994" s="1" t="n">
        <v>44985</v>
      </c>
      <c r="C4994" s="1" t="n">
        <v>45211</v>
      </c>
      <c r="D4994" t="inlineStr">
        <is>
          <t>ÖSTERGÖTLANDS LÄN</t>
        </is>
      </c>
      <c r="E4994" t="inlineStr">
        <is>
          <t>FINSPÅNG</t>
        </is>
      </c>
      <c r="G4994" t="n">
        <v>3.1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s="2" t="inlineStr"/>
    </row>
    <row r="4995" ht="15" customHeight="1">
      <c r="A4995" t="inlineStr">
        <is>
          <t>A 9901-2023</t>
        </is>
      </c>
      <c r="B4995" s="1" t="n">
        <v>44985</v>
      </c>
      <c r="C4995" s="1" t="n">
        <v>45211</v>
      </c>
      <c r="D4995" t="inlineStr">
        <is>
          <t>ÖSTERGÖTLANDS LÄN</t>
        </is>
      </c>
      <c r="E4995" t="inlineStr">
        <is>
          <t>YDRE</t>
        </is>
      </c>
      <c r="F4995" t="inlineStr">
        <is>
          <t>Sveaskog</t>
        </is>
      </c>
      <c r="G4995" t="n">
        <v>3.6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s="2" t="inlineStr"/>
    </row>
    <row r="4996" ht="15" customHeight="1">
      <c r="A4996" t="inlineStr">
        <is>
          <t>A 10021-2023</t>
        </is>
      </c>
      <c r="B4996" s="1" t="n">
        <v>44985</v>
      </c>
      <c r="C4996" s="1" t="n">
        <v>45211</v>
      </c>
      <c r="D4996" t="inlineStr">
        <is>
          <t>ÖSTERGÖTLANDS LÄN</t>
        </is>
      </c>
      <c r="E4996" t="inlineStr">
        <is>
          <t>KINDA</t>
        </is>
      </c>
      <c r="G4996" t="n">
        <v>1.8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s="2" t="inlineStr"/>
    </row>
    <row r="4997" ht="15" customHeight="1">
      <c r="A4997" t="inlineStr">
        <is>
          <t>A 9907-2023</t>
        </is>
      </c>
      <c r="B4997" s="1" t="n">
        <v>44985</v>
      </c>
      <c r="C4997" s="1" t="n">
        <v>45211</v>
      </c>
      <c r="D4997" t="inlineStr">
        <is>
          <t>ÖSTERGÖTLANDS LÄN</t>
        </is>
      </c>
      <c r="E4997" t="inlineStr">
        <is>
          <t>FINSPÅNG</t>
        </is>
      </c>
      <c r="G4997" t="n">
        <v>1.8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s="2" t="inlineStr"/>
    </row>
    <row r="4998" ht="15" customHeight="1">
      <c r="A4998" t="inlineStr">
        <is>
          <t>A 9902-2023</t>
        </is>
      </c>
      <c r="B4998" s="1" t="n">
        <v>44985</v>
      </c>
      <c r="C4998" s="1" t="n">
        <v>45211</v>
      </c>
      <c r="D4998" t="inlineStr">
        <is>
          <t>ÖSTERGÖTLANDS LÄN</t>
        </is>
      </c>
      <c r="E4998" t="inlineStr">
        <is>
          <t>YDRE</t>
        </is>
      </c>
      <c r="F4998" t="inlineStr">
        <is>
          <t>Sveaskog</t>
        </is>
      </c>
      <c r="G4998" t="n">
        <v>0.9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s="2" t="inlineStr"/>
    </row>
    <row r="4999" ht="15" customHeight="1">
      <c r="A4999" t="inlineStr">
        <is>
          <t>A 10184-2023</t>
        </is>
      </c>
      <c r="B4999" s="1" t="n">
        <v>44986</v>
      </c>
      <c r="C4999" s="1" t="n">
        <v>45211</v>
      </c>
      <c r="D4999" t="inlineStr">
        <is>
          <t>ÖSTERGÖTLANDS LÄN</t>
        </is>
      </c>
      <c r="E4999" t="inlineStr">
        <is>
          <t>FINSPÅNG</t>
        </is>
      </c>
      <c r="G4999" t="n">
        <v>1.6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s="2" t="inlineStr"/>
    </row>
    <row r="5000" ht="15" customHeight="1">
      <c r="A5000" t="inlineStr">
        <is>
          <t>A 10241-2023</t>
        </is>
      </c>
      <c r="B5000" s="1" t="n">
        <v>44986</v>
      </c>
      <c r="C5000" s="1" t="n">
        <v>45211</v>
      </c>
      <c r="D5000" t="inlineStr">
        <is>
          <t>ÖSTERGÖTLANDS LÄN</t>
        </is>
      </c>
      <c r="E5000" t="inlineStr">
        <is>
          <t>YDRE</t>
        </is>
      </c>
      <c r="G5000" t="n">
        <v>1.7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s="2" t="inlineStr"/>
    </row>
    <row r="5001" ht="15" customHeight="1">
      <c r="A5001" t="inlineStr">
        <is>
          <t>A 10412-2023</t>
        </is>
      </c>
      <c r="B5001" s="1" t="n">
        <v>44987</v>
      </c>
      <c r="C5001" s="1" t="n">
        <v>45211</v>
      </c>
      <c r="D5001" t="inlineStr">
        <is>
          <t>ÖSTERGÖTLANDS LÄN</t>
        </is>
      </c>
      <c r="E5001" t="inlineStr">
        <is>
          <t>FINSPÅNG</t>
        </is>
      </c>
      <c r="G5001" t="n">
        <v>1.7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s="2" t="inlineStr"/>
    </row>
    <row r="5002" ht="15" customHeight="1">
      <c r="A5002" t="inlineStr">
        <is>
          <t>A 10402-2023</t>
        </is>
      </c>
      <c r="B5002" s="1" t="n">
        <v>44987</v>
      </c>
      <c r="C5002" s="1" t="n">
        <v>45211</v>
      </c>
      <c r="D5002" t="inlineStr">
        <is>
          <t>ÖSTERGÖTLANDS LÄN</t>
        </is>
      </c>
      <c r="E5002" t="inlineStr">
        <is>
          <t>YDRE</t>
        </is>
      </c>
      <c r="G5002" t="n">
        <v>10.2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s="2" t="inlineStr"/>
    </row>
    <row r="5003" ht="15" customHeight="1">
      <c r="A5003" t="inlineStr">
        <is>
          <t>A 10459-2023</t>
        </is>
      </c>
      <c r="B5003" s="1" t="n">
        <v>44987</v>
      </c>
      <c r="C5003" s="1" t="n">
        <v>45211</v>
      </c>
      <c r="D5003" t="inlineStr">
        <is>
          <t>ÖSTERGÖTLANDS LÄN</t>
        </is>
      </c>
      <c r="E5003" t="inlineStr">
        <is>
          <t>LINKÖPING</t>
        </is>
      </c>
      <c r="G5003" t="n">
        <v>1.5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s="2" t="inlineStr"/>
    </row>
    <row r="5004" ht="15" customHeight="1">
      <c r="A5004" t="inlineStr">
        <is>
          <t>A 11163-2023</t>
        </is>
      </c>
      <c r="B5004" s="1" t="n">
        <v>44987</v>
      </c>
      <c r="C5004" s="1" t="n">
        <v>45211</v>
      </c>
      <c r="D5004" t="inlineStr">
        <is>
          <t>ÖSTERGÖTLANDS LÄN</t>
        </is>
      </c>
      <c r="E5004" t="inlineStr">
        <is>
          <t>YDRE</t>
        </is>
      </c>
      <c r="G5004" t="n">
        <v>3.2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s="2" t="inlineStr"/>
    </row>
    <row r="5005" ht="15" customHeight="1">
      <c r="A5005" t="inlineStr">
        <is>
          <t>A 10518-2023</t>
        </is>
      </c>
      <c r="B5005" s="1" t="n">
        <v>44987</v>
      </c>
      <c r="C5005" s="1" t="n">
        <v>45211</v>
      </c>
      <c r="D5005" t="inlineStr">
        <is>
          <t>ÖSTERGÖTLANDS LÄN</t>
        </is>
      </c>
      <c r="E5005" t="inlineStr">
        <is>
          <t>NORRKÖPING</t>
        </is>
      </c>
      <c r="G5005" t="n">
        <v>3.6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s="2" t="inlineStr"/>
    </row>
    <row r="5006" ht="15" customHeight="1">
      <c r="A5006" t="inlineStr">
        <is>
          <t>A 11350-2023</t>
        </is>
      </c>
      <c r="B5006" s="1" t="n">
        <v>44988</v>
      </c>
      <c r="C5006" s="1" t="n">
        <v>45211</v>
      </c>
      <c r="D5006" t="inlineStr">
        <is>
          <t>ÖSTERGÖTLANDS LÄN</t>
        </is>
      </c>
      <c r="E5006" t="inlineStr">
        <is>
          <t>VALDEMARSVIK</t>
        </is>
      </c>
      <c r="F5006" t="inlineStr">
        <is>
          <t>Övriga Aktiebolag</t>
        </is>
      </c>
      <c r="G5006" t="n">
        <v>6.8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s="2" t="inlineStr"/>
    </row>
    <row r="5007" ht="15" customHeight="1">
      <c r="A5007" t="inlineStr">
        <is>
          <t>A 11337-2023</t>
        </is>
      </c>
      <c r="B5007" s="1" t="n">
        <v>44988</v>
      </c>
      <c r="C5007" s="1" t="n">
        <v>45211</v>
      </c>
      <c r="D5007" t="inlineStr">
        <is>
          <t>ÖSTERGÖTLANDS LÄN</t>
        </is>
      </c>
      <c r="E5007" t="inlineStr">
        <is>
          <t>VALDEMARSVIK</t>
        </is>
      </c>
      <c r="F5007" t="inlineStr">
        <is>
          <t>Övriga Aktiebolag</t>
        </is>
      </c>
      <c r="G5007" t="n">
        <v>11.2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s="2" t="inlineStr"/>
    </row>
    <row r="5008" ht="15" customHeight="1">
      <c r="A5008" t="inlineStr">
        <is>
          <t>A 10721-2023</t>
        </is>
      </c>
      <c r="B5008" s="1" t="n">
        <v>44988</v>
      </c>
      <c r="C5008" s="1" t="n">
        <v>45211</v>
      </c>
      <c r="D5008" t="inlineStr">
        <is>
          <t>ÖSTERGÖTLANDS LÄN</t>
        </is>
      </c>
      <c r="E5008" t="inlineStr">
        <is>
          <t>NORRKÖPING</t>
        </is>
      </c>
      <c r="F5008" t="inlineStr">
        <is>
          <t>Holmen skog AB</t>
        </is>
      </c>
      <c r="G5008" t="n">
        <v>1.5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s="2" t="inlineStr"/>
    </row>
    <row r="5009" ht="15" customHeight="1">
      <c r="A5009" t="inlineStr">
        <is>
          <t>A 10739-2023</t>
        </is>
      </c>
      <c r="B5009" s="1" t="n">
        <v>44988</v>
      </c>
      <c r="C5009" s="1" t="n">
        <v>45211</v>
      </c>
      <c r="D5009" t="inlineStr">
        <is>
          <t>ÖSTERGÖTLANDS LÄN</t>
        </is>
      </c>
      <c r="E5009" t="inlineStr">
        <is>
          <t>ÅTVIDABERG</t>
        </is>
      </c>
      <c r="G5009" t="n">
        <v>2.8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s="2" t="inlineStr"/>
    </row>
    <row r="5010" ht="15" customHeight="1">
      <c r="A5010" t="inlineStr">
        <is>
          <t>A 11348-2023</t>
        </is>
      </c>
      <c r="B5010" s="1" t="n">
        <v>44988</v>
      </c>
      <c r="C5010" s="1" t="n">
        <v>45211</v>
      </c>
      <c r="D5010" t="inlineStr">
        <is>
          <t>ÖSTERGÖTLANDS LÄN</t>
        </is>
      </c>
      <c r="E5010" t="inlineStr">
        <is>
          <t>VALDEMARSVIK</t>
        </is>
      </c>
      <c r="F5010" t="inlineStr">
        <is>
          <t>Övriga Aktiebolag</t>
        </is>
      </c>
      <c r="G5010" t="n">
        <v>4.8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s="2" t="inlineStr"/>
    </row>
    <row r="5011" ht="15" customHeight="1">
      <c r="A5011" t="inlineStr">
        <is>
          <t>A 10621-2023</t>
        </is>
      </c>
      <c r="B5011" s="1" t="n">
        <v>44988</v>
      </c>
      <c r="C5011" s="1" t="n">
        <v>45211</v>
      </c>
      <c r="D5011" t="inlineStr">
        <is>
          <t>ÖSTERGÖTLANDS LÄN</t>
        </is>
      </c>
      <c r="E5011" t="inlineStr">
        <is>
          <t>KINDA</t>
        </is>
      </c>
      <c r="G5011" t="n">
        <v>1.1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s="2" t="inlineStr"/>
    </row>
    <row r="5012" ht="15" customHeight="1">
      <c r="A5012" t="inlineStr">
        <is>
          <t>A 10704-2023</t>
        </is>
      </c>
      <c r="B5012" s="1" t="n">
        <v>44988</v>
      </c>
      <c r="C5012" s="1" t="n">
        <v>45211</v>
      </c>
      <c r="D5012" t="inlineStr">
        <is>
          <t>ÖSTERGÖTLANDS LÄN</t>
        </is>
      </c>
      <c r="E5012" t="inlineStr">
        <is>
          <t>NORRKÖPING</t>
        </is>
      </c>
      <c r="F5012" t="inlineStr">
        <is>
          <t>Holmen skog AB</t>
        </is>
      </c>
      <c r="G5012" t="n">
        <v>1.9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s="2" t="inlineStr"/>
    </row>
    <row r="5013" ht="15" customHeight="1">
      <c r="A5013" t="inlineStr">
        <is>
          <t>A 10799-2023</t>
        </is>
      </c>
      <c r="B5013" s="1" t="n">
        <v>44989</v>
      </c>
      <c r="C5013" s="1" t="n">
        <v>45211</v>
      </c>
      <c r="D5013" t="inlineStr">
        <is>
          <t>ÖSTERGÖTLANDS LÄN</t>
        </is>
      </c>
      <c r="E5013" t="inlineStr">
        <is>
          <t>ÅTVIDABERG</t>
        </is>
      </c>
      <c r="F5013" t="inlineStr">
        <is>
          <t>Övriga Aktiebolag</t>
        </is>
      </c>
      <c r="G5013" t="n">
        <v>8.199999999999999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s="2" t="inlineStr"/>
    </row>
    <row r="5014" ht="15" customHeight="1">
      <c r="A5014" t="inlineStr">
        <is>
          <t>A 11025-2023</t>
        </is>
      </c>
      <c r="B5014" s="1" t="n">
        <v>44991</v>
      </c>
      <c r="C5014" s="1" t="n">
        <v>45211</v>
      </c>
      <c r="D5014" t="inlineStr">
        <is>
          <t>ÖSTERGÖTLANDS LÄN</t>
        </is>
      </c>
      <c r="E5014" t="inlineStr">
        <is>
          <t>ÅTVIDABERG</t>
        </is>
      </c>
      <c r="G5014" t="n">
        <v>0.7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s="2" t="inlineStr"/>
    </row>
    <row r="5015" ht="15" customHeight="1">
      <c r="A5015" t="inlineStr">
        <is>
          <t>A 11587-2023</t>
        </is>
      </c>
      <c r="B5015" s="1" t="n">
        <v>44992</v>
      </c>
      <c r="C5015" s="1" t="n">
        <v>45211</v>
      </c>
      <c r="D5015" t="inlineStr">
        <is>
          <t>ÖSTERGÖTLANDS LÄN</t>
        </is>
      </c>
      <c r="E5015" t="inlineStr">
        <is>
          <t>NORRKÖPING</t>
        </is>
      </c>
      <c r="G5015" t="n">
        <v>2.6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s="2" t="inlineStr"/>
    </row>
    <row r="5016" ht="15" customHeight="1">
      <c r="A5016" t="inlineStr">
        <is>
          <t>A 11683-2023</t>
        </is>
      </c>
      <c r="B5016" s="1" t="n">
        <v>44992</v>
      </c>
      <c r="C5016" s="1" t="n">
        <v>45211</v>
      </c>
      <c r="D5016" t="inlineStr">
        <is>
          <t>ÖSTERGÖTLANDS LÄN</t>
        </is>
      </c>
      <c r="E5016" t="inlineStr">
        <is>
          <t>KINDA</t>
        </is>
      </c>
      <c r="G5016" t="n">
        <v>3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s="2" t="inlineStr"/>
    </row>
    <row r="5017" ht="15" customHeight="1">
      <c r="A5017" t="inlineStr">
        <is>
          <t>A 11261-2023</t>
        </is>
      </c>
      <c r="B5017" s="1" t="n">
        <v>44992</v>
      </c>
      <c r="C5017" s="1" t="n">
        <v>45211</v>
      </c>
      <c r="D5017" t="inlineStr">
        <is>
          <t>ÖSTERGÖTLANDS LÄN</t>
        </is>
      </c>
      <c r="E5017" t="inlineStr">
        <is>
          <t>NORRKÖPING</t>
        </is>
      </c>
      <c r="G5017" t="n">
        <v>0.9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s="2" t="inlineStr"/>
    </row>
    <row r="5018" ht="15" customHeight="1">
      <c r="A5018" t="inlineStr">
        <is>
          <t>A 11593-2023</t>
        </is>
      </c>
      <c r="B5018" s="1" t="n">
        <v>44992</v>
      </c>
      <c r="C5018" s="1" t="n">
        <v>45211</v>
      </c>
      <c r="D5018" t="inlineStr">
        <is>
          <t>ÖSTERGÖTLANDS LÄN</t>
        </is>
      </c>
      <c r="E5018" t="inlineStr">
        <is>
          <t>NORRKÖPING</t>
        </is>
      </c>
      <c r="G5018" t="n">
        <v>0.7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s="2" t="inlineStr"/>
    </row>
    <row r="5019" ht="15" customHeight="1">
      <c r="A5019" t="inlineStr">
        <is>
          <t>A 11165-2023</t>
        </is>
      </c>
      <c r="B5019" s="1" t="n">
        <v>44992</v>
      </c>
      <c r="C5019" s="1" t="n">
        <v>45211</v>
      </c>
      <c r="D5019" t="inlineStr">
        <is>
          <t>ÖSTERGÖTLANDS LÄN</t>
        </is>
      </c>
      <c r="E5019" t="inlineStr">
        <is>
          <t>SÖDERKÖPING</t>
        </is>
      </c>
      <c r="G5019" t="n">
        <v>4.9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s="2" t="inlineStr"/>
    </row>
    <row r="5020" ht="15" customHeight="1">
      <c r="A5020" t="inlineStr">
        <is>
          <t>A 11192-2023</t>
        </is>
      </c>
      <c r="B5020" s="1" t="n">
        <v>44992</v>
      </c>
      <c r="C5020" s="1" t="n">
        <v>45211</v>
      </c>
      <c r="D5020" t="inlineStr">
        <is>
          <t>ÖSTERGÖTLANDS LÄN</t>
        </is>
      </c>
      <c r="E5020" t="inlineStr">
        <is>
          <t>ÖDESHÖG</t>
        </is>
      </c>
      <c r="G5020" t="n">
        <v>1.3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s="2" t="inlineStr"/>
    </row>
    <row r="5021" ht="15" customHeight="1">
      <c r="A5021" t="inlineStr">
        <is>
          <t>A 11202-2023</t>
        </is>
      </c>
      <c r="B5021" s="1" t="n">
        <v>44992</v>
      </c>
      <c r="C5021" s="1" t="n">
        <v>45211</v>
      </c>
      <c r="D5021" t="inlineStr">
        <is>
          <t>ÖSTERGÖTLANDS LÄN</t>
        </is>
      </c>
      <c r="E5021" t="inlineStr">
        <is>
          <t>ÖDESHÖG</t>
        </is>
      </c>
      <c r="G5021" t="n">
        <v>0.6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s="2" t="inlineStr"/>
    </row>
    <row r="5022" ht="15" customHeight="1">
      <c r="A5022" t="inlineStr">
        <is>
          <t>A 11677-2023</t>
        </is>
      </c>
      <c r="B5022" s="1" t="n">
        <v>44992</v>
      </c>
      <c r="C5022" s="1" t="n">
        <v>45211</v>
      </c>
      <c r="D5022" t="inlineStr">
        <is>
          <t>ÖSTERGÖTLANDS LÄN</t>
        </is>
      </c>
      <c r="E5022" t="inlineStr">
        <is>
          <t>KINDA</t>
        </is>
      </c>
      <c r="G5022" t="n">
        <v>1.3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s="2" t="inlineStr"/>
    </row>
    <row r="5023" ht="15" customHeight="1">
      <c r="A5023" t="inlineStr">
        <is>
          <t>A 11193-2023</t>
        </is>
      </c>
      <c r="B5023" s="1" t="n">
        <v>44992</v>
      </c>
      <c r="C5023" s="1" t="n">
        <v>45211</v>
      </c>
      <c r="D5023" t="inlineStr">
        <is>
          <t>ÖSTERGÖTLANDS LÄN</t>
        </is>
      </c>
      <c r="E5023" t="inlineStr">
        <is>
          <t>ÖDESHÖG</t>
        </is>
      </c>
      <c r="G5023" t="n">
        <v>2.9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s="2" t="inlineStr"/>
    </row>
    <row r="5024" ht="15" customHeight="1">
      <c r="A5024" t="inlineStr">
        <is>
          <t>A 11658-2023</t>
        </is>
      </c>
      <c r="B5024" s="1" t="n">
        <v>44992</v>
      </c>
      <c r="C5024" s="1" t="n">
        <v>45211</v>
      </c>
      <c r="D5024" t="inlineStr">
        <is>
          <t>ÖSTERGÖTLANDS LÄN</t>
        </is>
      </c>
      <c r="E5024" t="inlineStr">
        <is>
          <t>KINDA</t>
        </is>
      </c>
      <c r="G5024" t="n">
        <v>12.9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s="2" t="inlineStr"/>
    </row>
    <row r="5025" ht="15" customHeight="1">
      <c r="A5025" t="inlineStr">
        <is>
          <t>A 11668-2023</t>
        </is>
      </c>
      <c r="B5025" s="1" t="n">
        <v>44992</v>
      </c>
      <c r="C5025" s="1" t="n">
        <v>45211</v>
      </c>
      <c r="D5025" t="inlineStr">
        <is>
          <t>ÖSTERGÖTLANDS LÄN</t>
        </is>
      </c>
      <c r="E5025" t="inlineStr">
        <is>
          <t>KINDA</t>
        </is>
      </c>
      <c r="G5025" t="n">
        <v>5.4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s="2" t="inlineStr"/>
    </row>
    <row r="5026" ht="15" customHeight="1">
      <c r="A5026" t="inlineStr">
        <is>
          <t>A 11502-2023</t>
        </is>
      </c>
      <c r="B5026" s="1" t="n">
        <v>44993</v>
      </c>
      <c r="C5026" s="1" t="n">
        <v>45211</v>
      </c>
      <c r="D5026" t="inlineStr">
        <is>
          <t>ÖSTERGÖTLANDS LÄN</t>
        </is>
      </c>
      <c r="E5026" t="inlineStr">
        <is>
          <t>FINSPÅNG</t>
        </is>
      </c>
      <c r="F5026" t="inlineStr">
        <is>
          <t>Holmen skog AB</t>
        </is>
      </c>
      <c r="G5026" t="n">
        <v>1.4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s="2" t="inlineStr"/>
    </row>
    <row r="5027" ht="15" customHeight="1">
      <c r="A5027" t="inlineStr">
        <is>
          <t>A 11514-2023</t>
        </is>
      </c>
      <c r="B5027" s="1" t="n">
        <v>44993</v>
      </c>
      <c r="C5027" s="1" t="n">
        <v>45211</v>
      </c>
      <c r="D5027" t="inlineStr">
        <is>
          <t>ÖSTERGÖTLANDS LÄN</t>
        </is>
      </c>
      <c r="E5027" t="inlineStr">
        <is>
          <t>FINSPÅNG</t>
        </is>
      </c>
      <c r="F5027" t="inlineStr">
        <is>
          <t>Holmen skog AB</t>
        </is>
      </c>
      <c r="G5027" t="n">
        <v>1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s="2" t="inlineStr"/>
    </row>
    <row r="5028" ht="15" customHeight="1">
      <c r="A5028" t="inlineStr">
        <is>
          <t>A 11361-2023</t>
        </is>
      </c>
      <c r="B5028" s="1" t="n">
        <v>44993</v>
      </c>
      <c r="C5028" s="1" t="n">
        <v>45211</v>
      </c>
      <c r="D5028" t="inlineStr">
        <is>
          <t>ÖSTERGÖTLANDS LÄN</t>
        </is>
      </c>
      <c r="E5028" t="inlineStr">
        <is>
          <t>LINKÖPING</t>
        </is>
      </c>
      <c r="G5028" t="n">
        <v>3.6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s="2" t="inlineStr"/>
    </row>
    <row r="5029" ht="15" customHeight="1">
      <c r="A5029" t="inlineStr">
        <is>
          <t>A 11490-2023</t>
        </is>
      </c>
      <c r="B5029" s="1" t="n">
        <v>44993</v>
      </c>
      <c r="C5029" s="1" t="n">
        <v>45211</v>
      </c>
      <c r="D5029" t="inlineStr">
        <is>
          <t>ÖSTERGÖTLANDS LÄN</t>
        </is>
      </c>
      <c r="E5029" t="inlineStr">
        <is>
          <t>NORRKÖPING</t>
        </is>
      </c>
      <c r="F5029" t="inlineStr">
        <is>
          <t>Holmen skog AB</t>
        </is>
      </c>
      <c r="G5029" t="n">
        <v>1.9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s="2" t="inlineStr"/>
    </row>
    <row r="5030" ht="15" customHeight="1">
      <c r="A5030" t="inlineStr">
        <is>
          <t>A 11329-2023</t>
        </is>
      </c>
      <c r="B5030" s="1" t="n">
        <v>44993</v>
      </c>
      <c r="C5030" s="1" t="n">
        <v>45211</v>
      </c>
      <c r="D5030" t="inlineStr">
        <is>
          <t>ÖSTERGÖTLANDS LÄN</t>
        </is>
      </c>
      <c r="E5030" t="inlineStr">
        <is>
          <t>KINDA</t>
        </is>
      </c>
      <c r="G5030" t="n">
        <v>3.6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s="2" t="inlineStr"/>
    </row>
    <row r="5031" ht="15" customHeight="1">
      <c r="A5031" t="inlineStr">
        <is>
          <t>A 11758-2023</t>
        </is>
      </c>
      <c r="B5031" s="1" t="n">
        <v>44994</v>
      </c>
      <c r="C5031" s="1" t="n">
        <v>45211</v>
      </c>
      <c r="D5031" t="inlineStr">
        <is>
          <t>ÖSTERGÖTLANDS LÄN</t>
        </is>
      </c>
      <c r="E5031" t="inlineStr">
        <is>
          <t>MOTALA</t>
        </is>
      </c>
      <c r="G5031" t="n">
        <v>1.6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s="2" t="inlineStr"/>
    </row>
    <row r="5032" ht="15" customHeight="1">
      <c r="A5032" t="inlineStr">
        <is>
          <t>A 11566-2023</t>
        </is>
      </c>
      <c r="B5032" s="1" t="n">
        <v>44994</v>
      </c>
      <c r="C5032" s="1" t="n">
        <v>45211</v>
      </c>
      <c r="D5032" t="inlineStr">
        <is>
          <t>ÖSTERGÖTLANDS LÄN</t>
        </is>
      </c>
      <c r="E5032" t="inlineStr">
        <is>
          <t>YDRE</t>
        </is>
      </c>
      <c r="G5032" t="n">
        <v>1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s="2" t="inlineStr"/>
    </row>
    <row r="5033" ht="15" customHeight="1">
      <c r="A5033" t="inlineStr">
        <is>
          <t>A 11576-2023</t>
        </is>
      </c>
      <c r="B5033" s="1" t="n">
        <v>44994</v>
      </c>
      <c r="C5033" s="1" t="n">
        <v>45211</v>
      </c>
      <c r="D5033" t="inlineStr">
        <is>
          <t>ÖSTERGÖTLANDS LÄN</t>
        </is>
      </c>
      <c r="E5033" t="inlineStr">
        <is>
          <t>ÅTVIDABERG</t>
        </is>
      </c>
      <c r="G5033" t="n">
        <v>0.5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s="2" t="inlineStr"/>
    </row>
    <row r="5034" ht="15" customHeight="1">
      <c r="A5034" t="inlineStr">
        <is>
          <t>A 11972-2023</t>
        </is>
      </c>
      <c r="B5034" s="1" t="n">
        <v>44994</v>
      </c>
      <c r="C5034" s="1" t="n">
        <v>45211</v>
      </c>
      <c r="D5034" t="inlineStr">
        <is>
          <t>ÖSTERGÖTLANDS LÄN</t>
        </is>
      </c>
      <c r="E5034" t="inlineStr">
        <is>
          <t>ÖDESHÖG</t>
        </is>
      </c>
      <c r="G5034" t="n">
        <v>1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s="2" t="inlineStr"/>
    </row>
    <row r="5035" ht="15" customHeight="1">
      <c r="A5035" t="inlineStr">
        <is>
          <t>A 11567-2023</t>
        </is>
      </c>
      <c r="B5035" s="1" t="n">
        <v>44994</v>
      </c>
      <c r="C5035" s="1" t="n">
        <v>45211</v>
      </c>
      <c r="D5035" t="inlineStr">
        <is>
          <t>ÖSTERGÖTLANDS LÄN</t>
        </is>
      </c>
      <c r="E5035" t="inlineStr">
        <is>
          <t>YDRE</t>
        </is>
      </c>
      <c r="G5035" t="n">
        <v>1.1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s="2" t="inlineStr"/>
    </row>
    <row r="5036" ht="15" customHeight="1">
      <c r="A5036" t="inlineStr">
        <is>
          <t>A 11601-2023</t>
        </is>
      </c>
      <c r="B5036" s="1" t="n">
        <v>44994</v>
      </c>
      <c r="C5036" s="1" t="n">
        <v>45211</v>
      </c>
      <c r="D5036" t="inlineStr">
        <is>
          <t>ÖSTERGÖTLANDS LÄN</t>
        </is>
      </c>
      <c r="E5036" t="inlineStr">
        <is>
          <t>LINKÖPING</t>
        </is>
      </c>
      <c r="G5036" t="n">
        <v>1.7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s="2" t="inlineStr"/>
    </row>
    <row r="5037" ht="15" customHeight="1">
      <c r="A5037" t="inlineStr">
        <is>
          <t>A 11766-2023</t>
        </is>
      </c>
      <c r="B5037" s="1" t="n">
        <v>44994</v>
      </c>
      <c r="C5037" s="1" t="n">
        <v>45211</v>
      </c>
      <c r="D5037" t="inlineStr">
        <is>
          <t>ÖSTERGÖTLANDS LÄN</t>
        </is>
      </c>
      <c r="E5037" t="inlineStr">
        <is>
          <t>ÅTVIDABERG</t>
        </is>
      </c>
      <c r="F5037" t="inlineStr">
        <is>
          <t>Övriga Aktiebolag</t>
        </is>
      </c>
      <c r="G5037" t="n">
        <v>5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s="2" t="inlineStr"/>
    </row>
    <row r="5038" ht="15" customHeight="1">
      <c r="A5038" t="inlineStr">
        <is>
          <t>A 11967-2023</t>
        </is>
      </c>
      <c r="B5038" s="1" t="n">
        <v>44994</v>
      </c>
      <c r="C5038" s="1" t="n">
        <v>45211</v>
      </c>
      <c r="D5038" t="inlineStr">
        <is>
          <t>ÖSTERGÖTLANDS LÄN</t>
        </is>
      </c>
      <c r="E5038" t="inlineStr">
        <is>
          <t>ÖDESHÖG</t>
        </is>
      </c>
      <c r="G5038" t="n">
        <v>1.4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s="2" t="inlineStr"/>
    </row>
    <row r="5039" ht="15" customHeight="1">
      <c r="A5039" t="inlineStr">
        <is>
          <t>A 11950-2023</t>
        </is>
      </c>
      <c r="B5039" s="1" t="n">
        <v>44995</v>
      </c>
      <c r="C5039" s="1" t="n">
        <v>45211</v>
      </c>
      <c r="D5039" t="inlineStr">
        <is>
          <t>ÖSTERGÖTLANDS LÄN</t>
        </is>
      </c>
      <c r="E5039" t="inlineStr">
        <is>
          <t>FINSPÅNG</t>
        </is>
      </c>
      <c r="F5039" t="inlineStr">
        <is>
          <t>Holmen skog AB</t>
        </is>
      </c>
      <c r="G5039" t="n">
        <v>0.4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s="2" t="inlineStr"/>
    </row>
    <row r="5040" ht="15" customHeight="1">
      <c r="A5040" t="inlineStr">
        <is>
          <t>A 11882-2023</t>
        </is>
      </c>
      <c r="B5040" s="1" t="n">
        <v>44995</v>
      </c>
      <c r="C5040" s="1" t="n">
        <v>45211</v>
      </c>
      <c r="D5040" t="inlineStr">
        <is>
          <t>ÖSTERGÖTLANDS LÄN</t>
        </is>
      </c>
      <c r="E5040" t="inlineStr">
        <is>
          <t>ÅTVIDABERG</t>
        </is>
      </c>
      <c r="F5040" t="inlineStr">
        <is>
          <t>Övriga Aktiebolag</t>
        </is>
      </c>
      <c r="G5040" t="n">
        <v>2.4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s="2" t="inlineStr"/>
    </row>
    <row r="5041" ht="15" customHeight="1">
      <c r="A5041" t="inlineStr">
        <is>
          <t>A 11974-2023</t>
        </is>
      </c>
      <c r="B5041" s="1" t="n">
        <v>44995</v>
      </c>
      <c r="C5041" s="1" t="n">
        <v>45211</v>
      </c>
      <c r="D5041" t="inlineStr">
        <is>
          <t>ÖSTERGÖTLANDS LÄN</t>
        </is>
      </c>
      <c r="E5041" t="inlineStr">
        <is>
          <t>FINSPÅNG</t>
        </is>
      </c>
      <c r="F5041" t="inlineStr">
        <is>
          <t>Holmen skog AB</t>
        </is>
      </c>
      <c r="G5041" t="n">
        <v>0.3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s="2" t="inlineStr"/>
    </row>
    <row r="5042" ht="15" customHeight="1">
      <c r="A5042" t="inlineStr">
        <is>
          <t>A 12249-2023</t>
        </is>
      </c>
      <c r="B5042" s="1" t="n">
        <v>44998</v>
      </c>
      <c r="C5042" s="1" t="n">
        <v>45211</v>
      </c>
      <c r="D5042" t="inlineStr">
        <is>
          <t>ÖSTERGÖTLANDS LÄN</t>
        </is>
      </c>
      <c r="E5042" t="inlineStr">
        <is>
          <t>FINSPÅNG</t>
        </is>
      </c>
      <c r="F5042" t="inlineStr">
        <is>
          <t>Holmen skog AB</t>
        </is>
      </c>
      <c r="G5042" t="n">
        <v>2.4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s="2" t="inlineStr"/>
    </row>
    <row r="5043" ht="15" customHeight="1">
      <c r="A5043" t="inlineStr">
        <is>
          <t>A 12189-2023</t>
        </is>
      </c>
      <c r="B5043" s="1" t="n">
        <v>44998</v>
      </c>
      <c r="C5043" s="1" t="n">
        <v>45211</v>
      </c>
      <c r="D5043" t="inlineStr">
        <is>
          <t>ÖSTERGÖTLANDS LÄN</t>
        </is>
      </c>
      <c r="E5043" t="inlineStr">
        <is>
          <t>NORRKÖPING</t>
        </is>
      </c>
      <c r="G5043" t="n">
        <v>5.2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s="2" t="inlineStr"/>
    </row>
    <row r="5044" ht="15" customHeight="1">
      <c r="A5044" t="inlineStr">
        <is>
          <t>A 12269-2023</t>
        </is>
      </c>
      <c r="B5044" s="1" t="n">
        <v>44998</v>
      </c>
      <c r="C5044" s="1" t="n">
        <v>45211</v>
      </c>
      <c r="D5044" t="inlineStr">
        <is>
          <t>ÖSTERGÖTLANDS LÄN</t>
        </is>
      </c>
      <c r="E5044" t="inlineStr">
        <is>
          <t>KINDA</t>
        </is>
      </c>
      <c r="G5044" t="n">
        <v>0.3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s="2" t="inlineStr"/>
    </row>
    <row r="5045" ht="15" customHeight="1">
      <c r="A5045" t="inlineStr">
        <is>
          <t>A 12091-2023</t>
        </is>
      </c>
      <c r="B5045" s="1" t="n">
        <v>44998</v>
      </c>
      <c r="C5045" s="1" t="n">
        <v>45211</v>
      </c>
      <c r="D5045" t="inlineStr">
        <is>
          <t>ÖSTERGÖTLANDS LÄN</t>
        </is>
      </c>
      <c r="E5045" t="inlineStr">
        <is>
          <t>MOTALA</t>
        </is>
      </c>
      <c r="F5045" t="inlineStr">
        <is>
          <t>Sveaskog</t>
        </is>
      </c>
      <c r="G5045" t="n">
        <v>5.7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s="2" t="inlineStr"/>
    </row>
    <row r="5046" ht="15" customHeight="1">
      <c r="A5046" t="inlineStr">
        <is>
          <t>A 12191-2023</t>
        </is>
      </c>
      <c r="B5046" s="1" t="n">
        <v>44998</v>
      </c>
      <c r="C5046" s="1" t="n">
        <v>45211</v>
      </c>
      <c r="D5046" t="inlineStr">
        <is>
          <t>ÖSTERGÖTLANDS LÄN</t>
        </is>
      </c>
      <c r="E5046" t="inlineStr">
        <is>
          <t>NORRKÖPING</t>
        </is>
      </c>
      <c r="G5046" t="n">
        <v>2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s="2" t="inlineStr"/>
    </row>
    <row r="5047" ht="15" customHeight="1">
      <c r="A5047" t="inlineStr">
        <is>
          <t>A 12431-2023</t>
        </is>
      </c>
      <c r="B5047" s="1" t="n">
        <v>44999</v>
      </c>
      <c r="C5047" s="1" t="n">
        <v>45211</v>
      </c>
      <c r="D5047" t="inlineStr">
        <is>
          <t>ÖSTERGÖTLANDS LÄN</t>
        </is>
      </c>
      <c r="E5047" t="inlineStr">
        <is>
          <t>VALDEMARSVIK</t>
        </is>
      </c>
      <c r="G5047" t="n">
        <v>0.8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s="2" t="inlineStr"/>
    </row>
    <row r="5048" ht="15" customHeight="1">
      <c r="A5048" t="inlineStr">
        <is>
          <t>A 12479-2023</t>
        </is>
      </c>
      <c r="B5048" s="1" t="n">
        <v>44999</v>
      </c>
      <c r="C5048" s="1" t="n">
        <v>45211</v>
      </c>
      <c r="D5048" t="inlineStr">
        <is>
          <t>ÖSTERGÖTLANDS LÄN</t>
        </is>
      </c>
      <c r="E5048" t="inlineStr">
        <is>
          <t>LINKÖPING</t>
        </is>
      </c>
      <c r="G5048" t="n">
        <v>2.8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s="2" t="inlineStr"/>
    </row>
    <row r="5049" ht="15" customHeight="1">
      <c r="A5049" t="inlineStr">
        <is>
          <t>A 12434-2023</t>
        </is>
      </c>
      <c r="B5049" s="1" t="n">
        <v>44999</v>
      </c>
      <c r="C5049" s="1" t="n">
        <v>45211</v>
      </c>
      <c r="D5049" t="inlineStr">
        <is>
          <t>ÖSTERGÖTLANDS LÄN</t>
        </is>
      </c>
      <c r="E5049" t="inlineStr">
        <is>
          <t>MOTALA</t>
        </is>
      </c>
      <c r="F5049" t="inlineStr">
        <is>
          <t>Allmännings- och besparingsskogar</t>
        </is>
      </c>
      <c r="G5049" t="n">
        <v>1.2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s="2" t="inlineStr"/>
    </row>
    <row r="5050" ht="15" customHeight="1">
      <c r="A5050" t="inlineStr">
        <is>
          <t>A 12511-2023</t>
        </is>
      </c>
      <c r="B5050" s="1" t="n">
        <v>44999</v>
      </c>
      <c r="C5050" s="1" t="n">
        <v>45211</v>
      </c>
      <c r="D5050" t="inlineStr">
        <is>
          <t>ÖSTERGÖTLANDS LÄN</t>
        </is>
      </c>
      <c r="E5050" t="inlineStr">
        <is>
          <t>NORRKÖPING</t>
        </is>
      </c>
      <c r="F5050" t="inlineStr">
        <is>
          <t>Allmännings- och besparingsskogar</t>
        </is>
      </c>
      <c r="G5050" t="n">
        <v>1.1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s="2" t="inlineStr"/>
    </row>
    <row r="5051" ht="15" customHeight="1">
      <c r="A5051" t="inlineStr">
        <is>
          <t>A 12822-2023</t>
        </is>
      </c>
      <c r="B5051" s="1" t="n">
        <v>45000</v>
      </c>
      <c r="C5051" s="1" t="n">
        <v>45211</v>
      </c>
      <c r="D5051" t="inlineStr">
        <is>
          <t>ÖSTERGÖTLANDS LÄN</t>
        </is>
      </c>
      <c r="E5051" t="inlineStr">
        <is>
          <t>KINDA</t>
        </is>
      </c>
      <c r="G5051" t="n">
        <v>3.7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s="2" t="inlineStr"/>
    </row>
    <row r="5052" ht="15" customHeight="1">
      <c r="A5052" t="inlineStr">
        <is>
          <t>A 12702-2023</t>
        </is>
      </c>
      <c r="B5052" s="1" t="n">
        <v>45000</v>
      </c>
      <c r="C5052" s="1" t="n">
        <v>45211</v>
      </c>
      <c r="D5052" t="inlineStr">
        <is>
          <t>ÖSTERGÖTLANDS LÄN</t>
        </is>
      </c>
      <c r="E5052" t="inlineStr">
        <is>
          <t>ÖDESHÖG</t>
        </is>
      </c>
      <c r="G5052" t="n">
        <v>4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s="2" t="inlineStr"/>
    </row>
    <row r="5053" ht="15" customHeight="1">
      <c r="A5053" t="inlineStr">
        <is>
          <t>A 12804-2023</t>
        </is>
      </c>
      <c r="B5053" s="1" t="n">
        <v>45000</v>
      </c>
      <c r="C5053" s="1" t="n">
        <v>45211</v>
      </c>
      <c r="D5053" t="inlineStr">
        <is>
          <t>ÖSTERGÖTLANDS LÄN</t>
        </is>
      </c>
      <c r="E5053" t="inlineStr">
        <is>
          <t>KINDA</t>
        </is>
      </c>
      <c r="G5053" t="n">
        <v>1.5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s="2" t="inlineStr"/>
    </row>
    <row r="5054" ht="15" customHeight="1">
      <c r="A5054" t="inlineStr">
        <is>
          <t>A 12817-2023</t>
        </is>
      </c>
      <c r="B5054" s="1" t="n">
        <v>45000</v>
      </c>
      <c r="C5054" s="1" t="n">
        <v>45211</v>
      </c>
      <c r="D5054" t="inlineStr">
        <is>
          <t>ÖSTERGÖTLANDS LÄN</t>
        </is>
      </c>
      <c r="E5054" t="inlineStr">
        <is>
          <t>KINDA</t>
        </is>
      </c>
      <c r="G5054" t="n">
        <v>1.1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s="2" t="inlineStr"/>
    </row>
    <row r="5055" ht="15" customHeight="1">
      <c r="A5055" t="inlineStr">
        <is>
          <t>A 12829-2023</t>
        </is>
      </c>
      <c r="B5055" s="1" t="n">
        <v>45000</v>
      </c>
      <c r="C5055" s="1" t="n">
        <v>45211</v>
      </c>
      <c r="D5055" t="inlineStr">
        <is>
          <t>ÖSTERGÖTLANDS LÄN</t>
        </is>
      </c>
      <c r="E5055" t="inlineStr">
        <is>
          <t>KINDA</t>
        </is>
      </c>
      <c r="G5055" t="n">
        <v>3.7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s="2" t="inlineStr"/>
    </row>
    <row r="5056" ht="15" customHeight="1">
      <c r="A5056" t="inlineStr">
        <is>
          <t>A 12845-2023</t>
        </is>
      </c>
      <c r="B5056" s="1" t="n">
        <v>45000</v>
      </c>
      <c r="C5056" s="1" t="n">
        <v>45211</v>
      </c>
      <c r="D5056" t="inlineStr">
        <is>
          <t>ÖSTERGÖTLANDS LÄN</t>
        </is>
      </c>
      <c r="E5056" t="inlineStr">
        <is>
          <t>KINDA</t>
        </is>
      </c>
      <c r="G5056" t="n">
        <v>7.6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s="2" t="inlineStr"/>
    </row>
    <row r="5057" ht="15" customHeight="1">
      <c r="A5057" t="inlineStr">
        <is>
          <t>A 12672-2023</t>
        </is>
      </c>
      <c r="B5057" s="1" t="n">
        <v>45000</v>
      </c>
      <c r="C5057" s="1" t="n">
        <v>45211</v>
      </c>
      <c r="D5057" t="inlineStr">
        <is>
          <t>ÖSTERGÖTLANDS LÄN</t>
        </is>
      </c>
      <c r="E5057" t="inlineStr">
        <is>
          <t>NORRKÖPING</t>
        </is>
      </c>
      <c r="G5057" t="n">
        <v>0.9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s="2" t="inlineStr"/>
    </row>
    <row r="5058" ht="15" customHeight="1">
      <c r="A5058" t="inlineStr">
        <is>
          <t>A 12811-2023</t>
        </is>
      </c>
      <c r="B5058" s="1" t="n">
        <v>45000</v>
      </c>
      <c r="C5058" s="1" t="n">
        <v>45211</v>
      </c>
      <c r="D5058" t="inlineStr">
        <is>
          <t>ÖSTERGÖTLANDS LÄN</t>
        </is>
      </c>
      <c r="E5058" t="inlineStr">
        <is>
          <t>KINDA</t>
        </is>
      </c>
      <c r="G5058" t="n">
        <v>2.8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s="2" t="inlineStr"/>
    </row>
    <row r="5059" ht="15" customHeight="1">
      <c r="A5059" t="inlineStr">
        <is>
          <t>A 12896-2023</t>
        </is>
      </c>
      <c r="B5059" s="1" t="n">
        <v>45000</v>
      </c>
      <c r="C5059" s="1" t="n">
        <v>45211</v>
      </c>
      <c r="D5059" t="inlineStr">
        <is>
          <t>ÖSTERGÖTLANDS LÄN</t>
        </is>
      </c>
      <c r="E5059" t="inlineStr">
        <is>
          <t>KINDA</t>
        </is>
      </c>
      <c r="G5059" t="n">
        <v>4.1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s="2" t="inlineStr"/>
    </row>
    <row r="5060" ht="15" customHeight="1">
      <c r="A5060" t="inlineStr">
        <is>
          <t>A 12904-2023</t>
        </is>
      </c>
      <c r="B5060" s="1" t="n">
        <v>45000</v>
      </c>
      <c r="C5060" s="1" t="n">
        <v>45211</v>
      </c>
      <c r="D5060" t="inlineStr">
        <is>
          <t>ÖSTERGÖTLANDS LÄN</t>
        </is>
      </c>
      <c r="E5060" t="inlineStr">
        <is>
          <t>KINDA</t>
        </is>
      </c>
      <c r="G5060" t="n">
        <v>2.9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s="2" t="inlineStr"/>
    </row>
    <row r="5061" ht="15" customHeight="1">
      <c r="A5061" t="inlineStr">
        <is>
          <t>A 12905-2023</t>
        </is>
      </c>
      <c r="B5061" s="1" t="n">
        <v>45001</v>
      </c>
      <c r="C5061" s="1" t="n">
        <v>45211</v>
      </c>
      <c r="D5061" t="inlineStr">
        <is>
          <t>ÖSTERGÖTLANDS LÄN</t>
        </is>
      </c>
      <c r="E5061" t="inlineStr">
        <is>
          <t>MOTALA</t>
        </is>
      </c>
      <c r="G5061" t="n">
        <v>3.7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s="2" t="inlineStr"/>
    </row>
    <row r="5062" ht="15" customHeight="1">
      <c r="A5062" t="inlineStr">
        <is>
          <t>A 12914-2023</t>
        </is>
      </c>
      <c r="B5062" s="1" t="n">
        <v>45001</v>
      </c>
      <c r="C5062" s="1" t="n">
        <v>45211</v>
      </c>
      <c r="D5062" t="inlineStr">
        <is>
          <t>ÖSTERGÖTLANDS LÄN</t>
        </is>
      </c>
      <c r="E5062" t="inlineStr">
        <is>
          <t>MOTALA</t>
        </is>
      </c>
      <c r="G5062" t="n">
        <v>0.6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s="2" t="inlineStr"/>
    </row>
    <row r="5063" ht="15" customHeight="1">
      <c r="A5063" t="inlineStr">
        <is>
          <t>A 12916-2023</t>
        </is>
      </c>
      <c r="B5063" s="1" t="n">
        <v>45001</v>
      </c>
      <c r="C5063" s="1" t="n">
        <v>45211</v>
      </c>
      <c r="D5063" t="inlineStr">
        <is>
          <t>ÖSTERGÖTLANDS LÄN</t>
        </is>
      </c>
      <c r="E5063" t="inlineStr">
        <is>
          <t>MOTALA</t>
        </is>
      </c>
      <c r="G5063" t="n">
        <v>0.4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s="2" t="inlineStr"/>
    </row>
    <row r="5064" ht="15" customHeight="1">
      <c r="A5064" t="inlineStr">
        <is>
          <t>A 13084-2023</t>
        </is>
      </c>
      <c r="B5064" s="1" t="n">
        <v>45002</v>
      </c>
      <c r="C5064" s="1" t="n">
        <v>45211</v>
      </c>
      <c r="D5064" t="inlineStr">
        <is>
          <t>ÖSTERGÖTLANDS LÄN</t>
        </is>
      </c>
      <c r="E5064" t="inlineStr">
        <is>
          <t>FINSPÅNG</t>
        </is>
      </c>
      <c r="F5064" t="inlineStr">
        <is>
          <t>Holmen skog AB</t>
        </is>
      </c>
      <c r="G5064" t="n">
        <v>1.6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s="2" t="inlineStr"/>
    </row>
    <row r="5065" ht="15" customHeight="1">
      <c r="A5065" t="inlineStr">
        <is>
          <t>A 13221-2023</t>
        </is>
      </c>
      <c r="B5065" s="1" t="n">
        <v>45002</v>
      </c>
      <c r="C5065" s="1" t="n">
        <v>45211</v>
      </c>
      <c r="D5065" t="inlineStr">
        <is>
          <t>ÖSTERGÖTLANDS LÄN</t>
        </is>
      </c>
      <c r="E5065" t="inlineStr">
        <is>
          <t>VALDEMARSVIK</t>
        </is>
      </c>
      <c r="G5065" t="n">
        <v>1.8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s="2" t="inlineStr"/>
    </row>
    <row r="5066" ht="15" customHeight="1">
      <c r="A5066" t="inlineStr">
        <is>
          <t>A 13219-2023</t>
        </is>
      </c>
      <c r="B5066" s="1" t="n">
        <v>45002</v>
      </c>
      <c r="C5066" s="1" t="n">
        <v>45211</v>
      </c>
      <c r="D5066" t="inlineStr">
        <is>
          <t>ÖSTERGÖTLANDS LÄN</t>
        </is>
      </c>
      <c r="E5066" t="inlineStr">
        <is>
          <t>VALDEMARSVIK</t>
        </is>
      </c>
      <c r="G5066" t="n">
        <v>1.5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s="2" t="inlineStr"/>
    </row>
    <row r="5067" ht="15" customHeight="1">
      <c r="A5067" t="inlineStr">
        <is>
          <t>A 13234-2023</t>
        </is>
      </c>
      <c r="B5067" s="1" t="n">
        <v>45002</v>
      </c>
      <c r="C5067" s="1" t="n">
        <v>45211</v>
      </c>
      <c r="D5067" t="inlineStr">
        <is>
          <t>ÖSTERGÖTLANDS LÄN</t>
        </is>
      </c>
      <c r="E5067" t="inlineStr">
        <is>
          <t>FINSPÅNG</t>
        </is>
      </c>
      <c r="G5067" t="n">
        <v>1.8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s="2" t="inlineStr"/>
    </row>
    <row r="5068" ht="15" customHeight="1">
      <c r="A5068" t="inlineStr">
        <is>
          <t>A 13268-2023</t>
        </is>
      </c>
      <c r="B5068" s="1" t="n">
        <v>45003</v>
      </c>
      <c r="C5068" s="1" t="n">
        <v>45211</v>
      </c>
      <c r="D5068" t="inlineStr">
        <is>
          <t>ÖSTERGÖTLANDS LÄN</t>
        </is>
      </c>
      <c r="E5068" t="inlineStr">
        <is>
          <t>LINKÖPING</t>
        </is>
      </c>
      <c r="G5068" t="n">
        <v>0.7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s="2" t="inlineStr"/>
    </row>
    <row r="5069" ht="15" customHeight="1">
      <c r="A5069" t="inlineStr">
        <is>
          <t>A 13406-2023</t>
        </is>
      </c>
      <c r="B5069" s="1" t="n">
        <v>45005</v>
      </c>
      <c r="C5069" s="1" t="n">
        <v>45211</v>
      </c>
      <c r="D5069" t="inlineStr">
        <is>
          <t>ÖSTERGÖTLANDS LÄN</t>
        </is>
      </c>
      <c r="E5069" t="inlineStr">
        <is>
          <t>LINKÖPING</t>
        </is>
      </c>
      <c r="G5069" t="n">
        <v>4.6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s="2" t="inlineStr"/>
    </row>
    <row r="5070" ht="15" customHeight="1">
      <c r="A5070" t="inlineStr">
        <is>
          <t>A 13439-2023</t>
        </is>
      </c>
      <c r="B5070" s="1" t="n">
        <v>45005</v>
      </c>
      <c r="C5070" s="1" t="n">
        <v>45211</v>
      </c>
      <c r="D5070" t="inlineStr">
        <is>
          <t>ÖSTERGÖTLANDS LÄN</t>
        </is>
      </c>
      <c r="E5070" t="inlineStr">
        <is>
          <t>KINDA</t>
        </is>
      </c>
      <c r="G5070" t="n">
        <v>2.1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s="2" t="inlineStr"/>
    </row>
    <row r="5071" ht="15" customHeight="1">
      <c r="A5071" t="inlineStr">
        <is>
          <t>A 13424-2023</t>
        </is>
      </c>
      <c r="B5071" s="1" t="n">
        <v>45005</v>
      </c>
      <c r="C5071" s="1" t="n">
        <v>45211</v>
      </c>
      <c r="D5071" t="inlineStr">
        <is>
          <t>ÖSTERGÖTLANDS LÄN</t>
        </is>
      </c>
      <c r="E5071" t="inlineStr">
        <is>
          <t>KINDA</t>
        </is>
      </c>
      <c r="G5071" t="n">
        <v>1.3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s="2" t="inlineStr"/>
    </row>
    <row r="5072" ht="15" customHeight="1">
      <c r="A5072" t="inlineStr">
        <is>
          <t>A 13443-2023</t>
        </is>
      </c>
      <c r="B5072" s="1" t="n">
        <v>45005</v>
      </c>
      <c r="C5072" s="1" t="n">
        <v>45211</v>
      </c>
      <c r="D5072" t="inlineStr">
        <is>
          <t>ÖSTERGÖTLANDS LÄN</t>
        </is>
      </c>
      <c r="E5072" t="inlineStr">
        <is>
          <t>NORRKÖPING</t>
        </is>
      </c>
      <c r="G5072" t="n">
        <v>0.7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s="2" t="inlineStr"/>
    </row>
    <row r="5073" ht="15" customHeight="1">
      <c r="A5073" t="inlineStr">
        <is>
          <t>A 13519-2023</t>
        </is>
      </c>
      <c r="B5073" s="1" t="n">
        <v>45006</v>
      </c>
      <c r="C5073" s="1" t="n">
        <v>45211</v>
      </c>
      <c r="D5073" t="inlineStr">
        <is>
          <t>ÖSTERGÖTLANDS LÄN</t>
        </is>
      </c>
      <c r="E5073" t="inlineStr">
        <is>
          <t>SÖDERKÖPING</t>
        </is>
      </c>
      <c r="G5073" t="n">
        <v>7.2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s="2" t="inlineStr"/>
    </row>
    <row r="5074" ht="15" customHeight="1">
      <c r="A5074" t="inlineStr">
        <is>
          <t>A 13579-2023</t>
        </is>
      </c>
      <c r="B5074" s="1" t="n">
        <v>45006</v>
      </c>
      <c r="C5074" s="1" t="n">
        <v>45211</v>
      </c>
      <c r="D5074" t="inlineStr">
        <is>
          <t>ÖSTERGÖTLANDS LÄN</t>
        </is>
      </c>
      <c r="E5074" t="inlineStr">
        <is>
          <t>NORRKÖPING</t>
        </is>
      </c>
      <c r="F5074" t="inlineStr">
        <is>
          <t>Holmen skog AB</t>
        </is>
      </c>
      <c r="G5074" t="n">
        <v>0.5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s="2" t="inlineStr"/>
    </row>
    <row r="5075" ht="15" customHeight="1">
      <c r="A5075" t="inlineStr">
        <is>
          <t>A 13776-2023</t>
        </is>
      </c>
      <c r="B5075" s="1" t="n">
        <v>45007</v>
      </c>
      <c r="C5075" s="1" t="n">
        <v>45211</v>
      </c>
      <c r="D5075" t="inlineStr">
        <is>
          <t>ÖSTERGÖTLANDS LÄN</t>
        </is>
      </c>
      <c r="E5075" t="inlineStr">
        <is>
          <t>KINDA</t>
        </is>
      </c>
      <c r="G5075" t="n">
        <v>1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s="2" t="inlineStr"/>
    </row>
    <row r="5076" ht="15" customHeight="1">
      <c r="A5076" t="inlineStr">
        <is>
          <t>A 13782-2023</t>
        </is>
      </c>
      <c r="B5076" s="1" t="n">
        <v>45007</v>
      </c>
      <c r="C5076" s="1" t="n">
        <v>45211</v>
      </c>
      <c r="D5076" t="inlineStr">
        <is>
          <t>ÖSTERGÖTLANDS LÄN</t>
        </is>
      </c>
      <c r="E5076" t="inlineStr">
        <is>
          <t>KINDA</t>
        </is>
      </c>
      <c r="G5076" t="n">
        <v>0.5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s="2" t="inlineStr"/>
    </row>
    <row r="5077" ht="15" customHeight="1">
      <c r="A5077" t="inlineStr">
        <is>
          <t>A 13944-2023</t>
        </is>
      </c>
      <c r="B5077" s="1" t="n">
        <v>45008</v>
      </c>
      <c r="C5077" s="1" t="n">
        <v>45211</v>
      </c>
      <c r="D5077" t="inlineStr">
        <is>
          <t>ÖSTERGÖTLANDS LÄN</t>
        </is>
      </c>
      <c r="E5077" t="inlineStr">
        <is>
          <t>NORRKÖPING</t>
        </is>
      </c>
      <c r="F5077" t="inlineStr">
        <is>
          <t>Holmen skog AB</t>
        </is>
      </c>
      <c r="G5077" t="n">
        <v>5.5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s="2" t="inlineStr"/>
    </row>
    <row r="5078" ht="15" customHeight="1">
      <c r="A5078" t="inlineStr">
        <is>
          <t>A 14061-2023</t>
        </is>
      </c>
      <c r="B5078" s="1" t="n">
        <v>45008</v>
      </c>
      <c r="C5078" s="1" t="n">
        <v>45211</v>
      </c>
      <c r="D5078" t="inlineStr">
        <is>
          <t>ÖSTERGÖTLANDS LÄN</t>
        </is>
      </c>
      <c r="E5078" t="inlineStr">
        <is>
          <t>FINSPÅNG</t>
        </is>
      </c>
      <c r="G5078" t="n">
        <v>0.4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s="2" t="inlineStr"/>
    </row>
    <row r="5079" ht="15" customHeight="1">
      <c r="A5079" t="inlineStr">
        <is>
          <t>A 14151-2023</t>
        </is>
      </c>
      <c r="B5079" s="1" t="n">
        <v>45008</v>
      </c>
      <c r="C5079" s="1" t="n">
        <v>45211</v>
      </c>
      <c r="D5079" t="inlineStr">
        <is>
          <t>ÖSTERGÖTLANDS LÄN</t>
        </is>
      </c>
      <c r="E5079" t="inlineStr">
        <is>
          <t>BOXHOLM</t>
        </is>
      </c>
      <c r="G5079" t="n">
        <v>1.5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s="2" t="inlineStr"/>
    </row>
    <row r="5080" ht="15" customHeight="1">
      <c r="A5080" t="inlineStr">
        <is>
          <t>A 13918-2023</t>
        </is>
      </c>
      <c r="B5080" s="1" t="n">
        <v>45008</v>
      </c>
      <c r="C5080" s="1" t="n">
        <v>45211</v>
      </c>
      <c r="D5080" t="inlineStr">
        <is>
          <t>ÖSTERGÖTLANDS LÄN</t>
        </is>
      </c>
      <c r="E5080" t="inlineStr">
        <is>
          <t>NORRKÖPING</t>
        </is>
      </c>
      <c r="G5080" t="n">
        <v>2.8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s="2" t="inlineStr"/>
    </row>
    <row r="5081" ht="15" customHeight="1">
      <c r="A5081" t="inlineStr">
        <is>
          <t>A 13966-2023</t>
        </is>
      </c>
      <c r="B5081" s="1" t="n">
        <v>45008</v>
      </c>
      <c r="C5081" s="1" t="n">
        <v>45211</v>
      </c>
      <c r="D5081" t="inlineStr">
        <is>
          <t>ÖSTERGÖTLANDS LÄN</t>
        </is>
      </c>
      <c r="E5081" t="inlineStr">
        <is>
          <t>KINDA</t>
        </is>
      </c>
      <c r="G5081" t="n">
        <v>0.7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s="2" t="inlineStr"/>
    </row>
    <row r="5082" ht="15" customHeight="1">
      <c r="A5082" t="inlineStr">
        <is>
          <t>A 13968-2023</t>
        </is>
      </c>
      <c r="B5082" s="1" t="n">
        <v>45008</v>
      </c>
      <c r="C5082" s="1" t="n">
        <v>45211</v>
      </c>
      <c r="D5082" t="inlineStr">
        <is>
          <t>ÖSTERGÖTLANDS LÄN</t>
        </is>
      </c>
      <c r="E5082" t="inlineStr">
        <is>
          <t>KINDA</t>
        </is>
      </c>
      <c r="G5082" t="n">
        <v>0.5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s="2" t="inlineStr"/>
    </row>
    <row r="5083" ht="15" customHeight="1">
      <c r="A5083" t="inlineStr">
        <is>
          <t>A 14184-2023</t>
        </is>
      </c>
      <c r="B5083" s="1" t="n">
        <v>45009</v>
      </c>
      <c r="C5083" s="1" t="n">
        <v>45211</v>
      </c>
      <c r="D5083" t="inlineStr">
        <is>
          <t>ÖSTERGÖTLANDS LÄN</t>
        </is>
      </c>
      <c r="E5083" t="inlineStr">
        <is>
          <t>SÖDERKÖPING</t>
        </is>
      </c>
      <c r="G5083" t="n">
        <v>2.6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s="2" t="inlineStr"/>
    </row>
    <row r="5084" ht="15" customHeight="1">
      <c r="A5084" t="inlineStr">
        <is>
          <t>A 14193-2023</t>
        </is>
      </c>
      <c r="B5084" s="1" t="n">
        <v>45009</v>
      </c>
      <c r="C5084" s="1" t="n">
        <v>45211</v>
      </c>
      <c r="D5084" t="inlineStr">
        <is>
          <t>ÖSTERGÖTLANDS LÄN</t>
        </is>
      </c>
      <c r="E5084" t="inlineStr">
        <is>
          <t>FINSPÅNG</t>
        </is>
      </c>
      <c r="F5084" t="inlineStr">
        <is>
          <t>Holmen skog AB</t>
        </is>
      </c>
      <c r="G5084" t="n">
        <v>2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s="2" t="inlineStr"/>
    </row>
    <row r="5085" ht="15" customHeight="1">
      <c r="A5085" t="inlineStr">
        <is>
          <t>A 14237-2023</t>
        </is>
      </c>
      <c r="B5085" s="1" t="n">
        <v>45009</v>
      </c>
      <c r="C5085" s="1" t="n">
        <v>45211</v>
      </c>
      <c r="D5085" t="inlineStr">
        <is>
          <t>ÖSTERGÖTLANDS LÄN</t>
        </is>
      </c>
      <c r="E5085" t="inlineStr">
        <is>
          <t>FINSPÅNG</t>
        </is>
      </c>
      <c r="F5085" t="inlineStr">
        <is>
          <t>Holmen skog AB</t>
        </is>
      </c>
      <c r="G5085" t="n">
        <v>1.3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s="2" t="inlineStr"/>
    </row>
    <row r="5086" ht="15" customHeight="1">
      <c r="A5086" t="inlineStr">
        <is>
          <t>A 14082-2023</t>
        </is>
      </c>
      <c r="B5086" s="1" t="n">
        <v>45009</v>
      </c>
      <c r="C5086" s="1" t="n">
        <v>45211</v>
      </c>
      <c r="D5086" t="inlineStr">
        <is>
          <t>ÖSTERGÖTLANDS LÄN</t>
        </is>
      </c>
      <c r="E5086" t="inlineStr">
        <is>
          <t>VALDEMARSVIK</t>
        </is>
      </c>
      <c r="G5086" t="n">
        <v>0.6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s="2" t="inlineStr"/>
    </row>
    <row r="5087" ht="15" customHeight="1">
      <c r="A5087" t="inlineStr">
        <is>
          <t>A 14175-2023</t>
        </is>
      </c>
      <c r="B5087" s="1" t="n">
        <v>45009</v>
      </c>
      <c r="C5087" s="1" t="n">
        <v>45211</v>
      </c>
      <c r="D5087" t="inlineStr">
        <is>
          <t>ÖSTERGÖTLANDS LÄN</t>
        </is>
      </c>
      <c r="E5087" t="inlineStr">
        <is>
          <t>KINDA</t>
        </is>
      </c>
      <c r="G5087" t="n">
        <v>1.9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s="2" t="inlineStr"/>
    </row>
    <row r="5088" ht="15" customHeight="1">
      <c r="A5088" t="inlineStr">
        <is>
          <t>A 14182-2023</t>
        </is>
      </c>
      <c r="B5088" s="1" t="n">
        <v>45009</v>
      </c>
      <c r="C5088" s="1" t="n">
        <v>45211</v>
      </c>
      <c r="D5088" t="inlineStr">
        <is>
          <t>ÖSTERGÖTLANDS LÄN</t>
        </is>
      </c>
      <c r="E5088" t="inlineStr">
        <is>
          <t>NORRKÖPING</t>
        </is>
      </c>
      <c r="F5088" t="inlineStr">
        <is>
          <t>Holmen skog AB</t>
        </is>
      </c>
      <c r="G5088" t="n">
        <v>1.1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s="2" t="inlineStr"/>
    </row>
    <row r="5089" ht="15" customHeight="1">
      <c r="A5089" t="inlineStr">
        <is>
          <t>A 14199-2023</t>
        </is>
      </c>
      <c r="B5089" s="1" t="n">
        <v>45009</v>
      </c>
      <c r="C5089" s="1" t="n">
        <v>45211</v>
      </c>
      <c r="D5089" t="inlineStr">
        <is>
          <t>ÖSTERGÖTLANDS LÄN</t>
        </is>
      </c>
      <c r="E5089" t="inlineStr">
        <is>
          <t>FINSPÅNG</t>
        </is>
      </c>
      <c r="F5089" t="inlineStr">
        <is>
          <t>Holmen skog AB</t>
        </is>
      </c>
      <c r="G5089" t="n">
        <v>1.3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s="2" t="inlineStr"/>
    </row>
    <row r="5090" ht="15" customHeight="1">
      <c r="A5090" t="inlineStr">
        <is>
          <t>A 14210-2023</t>
        </is>
      </c>
      <c r="B5090" s="1" t="n">
        <v>45009</v>
      </c>
      <c r="C5090" s="1" t="n">
        <v>45211</v>
      </c>
      <c r="D5090" t="inlineStr">
        <is>
          <t>ÖSTERGÖTLANDS LÄN</t>
        </is>
      </c>
      <c r="E5090" t="inlineStr">
        <is>
          <t>MJÖLBY</t>
        </is>
      </c>
      <c r="G5090" t="n">
        <v>1.9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s="2" t="inlineStr"/>
    </row>
    <row r="5091" ht="15" customHeight="1">
      <c r="A5091" t="inlineStr">
        <is>
          <t>A 14173-2023</t>
        </is>
      </c>
      <c r="B5091" s="1" t="n">
        <v>45009</v>
      </c>
      <c r="C5091" s="1" t="n">
        <v>45211</v>
      </c>
      <c r="D5091" t="inlineStr">
        <is>
          <t>ÖSTERGÖTLANDS LÄN</t>
        </is>
      </c>
      <c r="E5091" t="inlineStr">
        <is>
          <t>KINDA</t>
        </is>
      </c>
      <c r="G5091" t="n">
        <v>4.5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s="2" t="inlineStr"/>
    </row>
    <row r="5092" ht="15" customHeight="1">
      <c r="A5092" t="inlineStr">
        <is>
          <t>A 14215-2023</t>
        </is>
      </c>
      <c r="B5092" s="1" t="n">
        <v>45009</v>
      </c>
      <c r="C5092" s="1" t="n">
        <v>45211</v>
      </c>
      <c r="D5092" t="inlineStr">
        <is>
          <t>ÖSTERGÖTLANDS LÄN</t>
        </is>
      </c>
      <c r="E5092" t="inlineStr">
        <is>
          <t>FINSPÅNG</t>
        </is>
      </c>
      <c r="F5092" t="inlineStr">
        <is>
          <t>Holmen skog AB</t>
        </is>
      </c>
      <c r="G5092" t="n">
        <v>2.1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s="2" t="inlineStr"/>
    </row>
    <row r="5093" ht="15" customHeight="1">
      <c r="A5093" t="inlineStr">
        <is>
          <t>A 14241-2023</t>
        </is>
      </c>
      <c r="B5093" s="1" t="n">
        <v>45009</v>
      </c>
      <c r="C5093" s="1" t="n">
        <v>45211</v>
      </c>
      <c r="D5093" t="inlineStr">
        <is>
          <t>ÖSTERGÖTLANDS LÄN</t>
        </is>
      </c>
      <c r="E5093" t="inlineStr">
        <is>
          <t>FINSPÅNG</t>
        </is>
      </c>
      <c r="F5093" t="inlineStr">
        <is>
          <t>Holmen skog AB</t>
        </is>
      </c>
      <c r="G5093" t="n">
        <v>0.8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s="2" t="inlineStr"/>
    </row>
    <row r="5094" ht="15" customHeight="1">
      <c r="A5094" t="inlineStr">
        <is>
          <t>A 14279-2023</t>
        </is>
      </c>
      <c r="B5094" s="1" t="n">
        <v>45010</v>
      </c>
      <c r="C5094" s="1" t="n">
        <v>45211</v>
      </c>
      <c r="D5094" t="inlineStr">
        <is>
          <t>ÖSTERGÖTLANDS LÄN</t>
        </is>
      </c>
      <c r="E5094" t="inlineStr">
        <is>
          <t>SÖDERKÖPING</t>
        </is>
      </c>
      <c r="F5094" t="inlineStr">
        <is>
          <t>Holmen skog AB</t>
        </is>
      </c>
      <c r="G5094" t="n">
        <v>2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s="2" t="inlineStr"/>
    </row>
    <row r="5095" ht="15" customHeight="1">
      <c r="A5095" t="inlineStr">
        <is>
          <t>A 14485-2023</t>
        </is>
      </c>
      <c r="B5095" s="1" t="n">
        <v>45012</v>
      </c>
      <c r="C5095" s="1" t="n">
        <v>45211</v>
      </c>
      <c r="D5095" t="inlineStr">
        <is>
          <t>ÖSTERGÖTLANDS LÄN</t>
        </is>
      </c>
      <c r="E5095" t="inlineStr">
        <is>
          <t>NORRKÖPING</t>
        </is>
      </c>
      <c r="G5095" t="n">
        <v>9.9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s="2" t="inlineStr"/>
    </row>
    <row r="5096" ht="15" customHeight="1">
      <c r="A5096" t="inlineStr">
        <is>
          <t>A 14486-2023</t>
        </is>
      </c>
      <c r="B5096" s="1" t="n">
        <v>45012</v>
      </c>
      <c r="C5096" s="1" t="n">
        <v>45211</v>
      </c>
      <c r="D5096" t="inlineStr">
        <is>
          <t>ÖSTERGÖTLANDS LÄN</t>
        </is>
      </c>
      <c r="E5096" t="inlineStr">
        <is>
          <t>NORRKÖPING</t>
        </is>
      </c>
      <c r="G5096" t="n">
        <v>3.2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s="2" t="inlineStr"/>
    </row>
    <row r="5097" ht="15" customHeight="1">
      <c r="A5097" t="inlineStr">
        <is>
          <t>A 14715-2023</t>
        </is>
      </c>
      <c r="B5097" s="1" t="n">
        <v>45012</v>
      </c>
      <c r="C5097" s="1" t="n">
        <v>45211</v>
      </c>
      <c r="D5097" t="inlineStr">
        <is>
          <t>ÖSTERGÖTLANDS LÄN</t>
        </is>
      </c>
      <c r="E5097" t="inlineStr">
        <is>
          <t>LINKÖPING</t>
        </is>
      </c>
      <c r="G5097" t="n">
        <v>9.4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s="2" t="inlineStr"/>
    </row>
    <row r="5098" ht="15" customHeight="1">
      <c r="A5098" t="inlineStr">
        <is>
          <t>A 14504-2023</t>
        </is>
      </c>
      <c r="B5098" s="1" t="n">
        <v>45012</v>
      </c>
      <c r="C5098" s="1" t="n">
        <v>45211</v>
      </c>
      <c r="D5098" t="inlineStr">
        <is>
          <t>ÖSTERGÖTLANDS LÄN</t>
        </is>
      </c>
      <c r="E5098" t="inlineStr">
        <is>
          <t>NORRKÖPING</t>
        </is>
      </c>
      <c r="G5098" t="n">
        <v>0.5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s="2" t="inlineStr"/>
    </row>
    <row r="5099" ht="15" customHeight="1">
      <c r="A5099" t="inlineStr">
        <is>
          <t>A 14576-2023</t>
        </is>
      </c>
      <c r="B5099" s="1" t="n">
        <v>45013</v>
      </c>
      <c r="C5099" s="1" t="n">
        <v>45211</v>
      </c>
      <c r="D5099" t="inlineStr">
        <is>
          <t>ÖSTERGÖTLANDS LÄN</t>
        </is>
      </c>
      <c r="E5099" t="inlineStr">
        <is>
          <t>LINKÖPING</t>
        </is>
      </c>
      <c r="G5099" t="n">
        <v>3.2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s="2" t="inlineStr"/>
    </row>
    <row r="5100" ht="15" customHeight="1">
      <c r="A5100" t="inlineStr">
        <is>
          <t>A 14901-2023</t>
        </is>
      </c>
      <c r="B5100" s="1" t="n">
        <v>45014</v>
      </c>
      <c r="C5100" s="1" t="n">
        <v>45211</v>
      </c>
      <c r="D5100" t="inlineStr">
        <is>
          <t>ÖSTERGÖTLANDS LÄN</t>
        </is>
      </c>
      <c r="E5100" t="inlineStr">
        <is>
          <t>NORRKÖPING</t>
        </is>
      </c>
      <c r="G5100" t="n">
        <v>1.7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s="2" t="inlineStr"/>
    </row>
    <row r="5101" ht="15" customHeight="1">
      <c r="A5101" t="inlineStr">
        <is>
          <t>A 14679-2023</t>
        </is>
      </c>
      <c r="B5101" s="1" t="n">
        <v>45014</v>
      </c>
      <c r="C5101" s="1" t="n">
        <v>45211</v>
      </c>
      <c r="D5101" t="inlineStr">
        <is>
          <t>ÖSTERGÖTLANDS LÄN</t>
        </is>
      </c>
      <c r="E5101" t="inlineStr">
        <is>
          <t>SÖDERKÖPING</t>
        </is>
      </c>
      <c r="F5101" t="inlineStr">
        <is>
          <t>Holmen skog AB</t>
        </is>
      </c>
      <c r="G5101" t="n">
        <v>3.9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s="2" t="inlineStr"/>
    </row>
    <row r="5102" ht="15" customHeight="1">
      <c r="A5102" t="inlineStr">
        <is>
          <t>A 14899-2023</t>
        </is>
      </c>
      <c r="B5102" s="1" t="n">
        <v>45014</v>
      </c>
      <c r="C5102" s="1" t="n">
        <v>45211</v>
      </c>
      <c r="D5102" t="inlineStr">
        <is>
          <t>ÖSTERGÖTLANDS LÄN</t>
        </is>
      </c>
      <c r="E5102" t="inlineStr">
        <is>
          <t>NORRKÖPING</t>
        </is>
      </c>
      <c r="G5102" t="n">
        <v>2.5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s="2" t="inlineStr"/>
    </row>
    <row r="5103" ht="15" customHeight="1">
      <c r="A5103" t="inlineStr">
        <is>
          <t>A 15039-2023</t>
        </is>
      </c>
      <c r="B5103" s="1" t="n">
        <v>45015</v>
      </c>
      <c r="C5103" s="1" t="n">
        <v>45211</v>
      </c>
      <c r="D5103" t="inlineStr">
        <is>
          <t>ÖSTERGÖTLANDS LÄN</t>
        </is>
      </c>
      <c r="E5103" t="inlineStr">
        <is>
          <t>ÅTVIDABERG</t>
        </is>
      </c>
      <c r="G5103" t="n">
        <v>1.7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s="2" t="inlineStr"/>
    </row>
    <row r="5104" ht="15" customHeight="1">
      <c r="A5104" t="inlineStr">
        <is>
          <t>A 14896-2023</t>
        </is>
      </c>
      <c r="B5104" s="1" t="n">
        <v>45015</v>
      </c>
      <c r="C5104" s="1" t="n">
        <v>45211</v>
      </c>
      <c r="D5104" t="inlineStr">
        <is>
          <t>ÖSTERGÖTLANDS LÄN</t>
        </is>
      </c>
      <c r="E5104" t="inlineStr">
        <is>
          <t>SÖDERKÖPING</t>
        </is>
      </c>
      <c r="G5104" t="n">
        <v>3.4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s="2" t="inlineStr"/>
    </row>
    <row r="5105" ht="15" customHeight="1">
      <c r="A5105" t="inlineStr">
        <is>
          <t>A 14908-2023</t>
        </is>
      </c>
      <c r="B5105" s="1" t="n">
        <v>45015</v>
      </c>
      <c r="C5105" s="1" t="n">
        <v>45211</v>
      </c>
      <c r="D5105" t="inlineStr">
        <is>
          <t>ÖSTERGÖTLANDS LÄN</t>
        </is>
      </c>
      <c r="E5105" t="inlineStr">
        <is>
          <t>LINKÖPING</t>
        </is>
      </c>
      <c r="G5105" t="n">
        <v>2.6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s="2" t="inlineStr"/>
    </row>
    <row r="5106" ht="15" customHeight="1">
      <c r="A5106" t="inlineStr">
        <is>
          <t>A 14922-2023</t>
        </is>
      </c>
      <c r="B5106" s="1" t="n">
        <v>45015</v>
      </c>
      <c r="C5106" s="1" t="n">
        <v>45211</v>
      </c>
      <c r="D5106" t="inlineStr">
        <is>
          <t>ÖSTERGÖTLANDS LÄN</t>
        </is>
      </c>
      <c r="E5106" t="inlineStr">
        <is>
          <t>LINKÖPING</t>
        </is>
      </c>
      <c r="G5106" t="n">
        <v>2.1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s="2" t="inlineStr"/>
    </row>
    <row r="5107" ht="15" customHeight="1">
      <c r="A5107" t="inlineStr">
        <is>
          <t>A 15038-2023</t>
        </is>
      </c>
      <c r="B5107" s="1" t="n">
        <v>45015</v>
      </c>
      <c r="C5107" s="1" t="n">
        <v>45211</v>
      </c>
      <c r="D5107" t="inlineStr">
        <is>
          <t>ÖSTERGÖTLANDS LÄN</t>
        </is>
      </c>
      <c r="E5107" t="inlineStr">
        <is>
          <t>ÅTVIDABERG</t>
        </is>
      </c>
      <c r="G5107" t="n">
        <v>2.8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s="2" t="inlineStr"/>
    </row>
    <row r="5108" ht="15" customHeight="1">
      <c r="A5108" t="inlineStr">
        <is>
          <t>A 15112-2023</t>
        </is>
      </c>
      <c r="B5108" s="1" t="n">
        <v>45016</v>
      </c>
      <c r="C5108" s="1" t="n">
        <v>45211</v>
      </c>
      <c r="D5108" t="inlineStr">
        <is>
          <t>ÖSTERGÖTLANDS LÄN</t>
        </is>
      </c>
      <c r="E5108" t="inlineStr">
        <is>
          <t>YDRE</t>
        </is>
      </c>
      <c r="F5108" t="inlineStr">
        <is>
          <t>Övriga Aktiebolag</t>
        </is>
      </c>
      <c r="G5108" t="n">
        <v>0.5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s="2" t="inlineStr"/>
    </row>
    <row r="5109" ht="15" customHeight="1">
      <c r="A5109" t="inlineStr">
        <is>
          <t>A 15079-2023</t>
        </is>
      </c>
      <c r="B5109" s="1" t="n">
        <v>45016</v>
      </c>
      <c r="C5109" s="1" t="n">
        <v>45211</v>
      </c>
      <c r="D5109" t="inlineStr">
        <is>
          <t>ÖSTERGÖTLANDS LÄN</t>
        </is>
      </c>
      <c r="E5109" t="inlineStr">
        <is>
          <t>SÖDERKÖPING</t>
        </is>
      </c>
      <c r="F5109" t="inlineStr">
        <is>
          <t>Holmen skog AB</t>
        </is>
      </c>
      <c r="G5109" t="n">
        <v>1.1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s="2" t="inlineStr"/>
    </row>
    <row r="5110" ht="15" customHeight="1">
      <c r="A5110" t="inlineStr">
        <is>
          <t>A 15254-2023</t>
        </is>
      </c>
      <c r="B5110" s="1" t="n">
        <v>45019</v>
      </c>
      <c r="C5110" s="1" t="n">
        <v>45211</v>
      </c>
      <c r="D5110" t="inlineStr">
        <is>
          <t>ÖSTERGÖTLANDS LÄN</t>
        </is>
      </c>
      <c r="E5110" t="inlineStr">
        <is>
          <t>SÖDERKÖPING</t>
        </is>
      </c>
      <c r="F5110" t="inlineStr">
        <is>
          <t>Holmen skog AB</t>
        </is>
      </c>
      <c r="G5110" t="n">
        <v>2.6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s="2" t="inlineStr"/>
    </row>
    <row r="5111" ht="15" customHeight="1">
      <c r="A5111" t="inlineStr">
        <is>
          <t>A 15545-2023</t>
        </is>
      </c>
      <c r="B5111" s="1" t="n">
        <v>45020</v>
      </c>
      <c r="C5111" s="1" t="n">
        <v>45211</v>
      </c>
      <c r="D5111" t="inlineStr">
        <is>
          <t>ÖSTERGÖTLANDS LÄN</t>
        </is>
      </c>
      <c r="E5111" t="inlineStr">
        <is>
          <t>VALDEMARSVIK</t>
        </is>
      </c>
      <c r="G5111" t="n">
        <v>2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s="2" t="inlineStr"/>
    </row>
    <row r="5112" ht="15" customHeight="1">
      <c r="A5112" t="inlineStr">
        <is>
          <t>A 15572-2023</t>
        </is>
      </c>
      <c r="B5112" s="1" t="n">
        <v>45020</v>
      </c>
      <c r="C5112" s="1" t="n">
        <v>45211</v>
      </c>
      <c r="D5112" t="inlineStr">
        <is>
          <t>ÖSTERGÖTLANDS LÄN</t>
        </is>
      </c>
      <c r="E5112" t="inlineStr">
        <is>
          <t>VALDEMARSVIK</t>
        </is>
      </c>
      <c r="G5112" t="n">
        <v>1.6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s="2" t="inlineStr"/>
    </row>
    <row r="5113" ht="15" customHeight="1">
      <c r="A5113" t="inlineStr">
        <is>
          <t>A 15583-2023</t>
        </is>
      </c>
      <c r="B5113" s="1" t="n">
        <v>45020</v>
      </c>
      <c r="C5113" s="1" t="n">
        <v>45211</v>
      </c>
      <c r="D5113" t="inlineStr">
        <is>
          <t>ÖSTERGÖTLANDS LÄN</t>
        </is>
      </c>
      <c r="E5113" t="inlineStr">
        <is>
          <t>LINKÖPING</t>
        </is>
      </c>
      <c r="F5113" t="inlineStr">
        <is>
          <t>Sveaskog</t>
        </is>
      </c>
      <c r="G5113" t="n">
        <v>3.5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s="2" t="inlineStr"/>
    </row>
    <row r="5114" ht="15" customHeight="1">
      <c r="A5114" t="inlineStr">
        <is>
          <t>A 15544-2023</t>
        </is>
      </c>
      <c r="B5114" s="1" t="n">
        <v>45020</v>
      </c>
      <c r="C5114" s="1" t="n">
        <v>45211</v>
      </c>
      <c r="D5114" t="inlineStr">
        <is>
          <t>ÖSTERGÖTLANDS LÄN</t>
        </is>
      </c>
      <c r="E5114" t="inlineStr">
        <is>
          <t>VALDEMARSVIK</t>
        </is>
      </c>
      <c r="G5114" t="n">
        <v>3.3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s="2" t="inlineStr"/>
    </row>
    <row r="5115" ht="15" customHeight="1">
      <c r="A5115" t="inlineStr">
        <is>
          <t>A 15538-2023</t>
        </is>
      </c>
      <c r="B5115" s="1" t="n">
        <v>45020</v>
      </c>
      <c r="C5115" s="1" t="n">
        <v>45211</v>
      </c>
      <c r="D5115" t="inlineStr">
        <is>
          <t>ÖSTERGÖTLANDS LÄN</t>
        </is>
      </c>
      <c r="E5115" t="inlineStr">
        <is>
          <t>VALDEMARSVIK</t>
        </is>
      </c>
      <c r="G5115" t="n">
        <v>5.1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s="2" t="inlineStr"/>
    </row>
    <row r="5116" ht="15" customHeight="1">
      <c r="A5116" t="inlineStr">
        <is>
          <t>A 15672-2023</t>
        </is>
      </c>
      <c r="B5116" s="1" t="n">
        <v>45020</v>
      </c>
      <c r="C5116" s="1" t="n">
        <v>45211</v>
      </c>
      <c r="D5116" t="inlineStr">
        <is>
          <t>ÖSTERGÖTLANDS LÄN</t>
        </is>
      </c>
      <c r="E5116" t="inlineStr">
        <is>
          <t>ÅTVIDABERG</t>
        </is>
      </c>
      <c r="G5116" t="n">
        <v>2.8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s="2" t="inlineStr"/>
    </row>
    <row r="5117" ht="15" customHeight="1">
      <c r="A5117" t="inlineStr">
        <is>
          <t>A 15664-2023</t>
        </is>
      </c>
      <c r="B5117" s="1" t="n">
        <v>45021</v>
      </c>
      <c r="C5117" s="1" t="n">
        <v>45211</v>
      </c>
      <c r="D5117" t="inlineStr">
        <is>
          <t>ÖSTERGÖTLANDS LÄN</t>
        </is>
      </c>
      <c r="E5117" t="inlineStr">
        <is>
          <t>FINSPÅNG</t>
        </is>
      </c>
      <c r="G5117" t="n">
        <v>1.5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s="2" t="inlineStr"/>
    </row>
    <row r="5118" ht="15" customHeight="1">
      <c r="A5118" t="inlineStr">
        <is>
          <t>A 15638-2023</t>
        </is>
      </c>
      <c r="B5118" s="1" t="n">
        <v>45021</v>
      </c>
      <c r="C5118" s="1" t="n">
        <v>45211</v>
      </c>
      <c r="D5118" t="inlineStr">
        <is>
          <t>ÖSTERGÖTLANDS LÄN</t>
        </is>
      </c>
      <c r="E5118" t="inlineStr">
        <is>
          <t>ÅTVIDABERG</t>
        </is>
      </c>
      <c r="G5118" t="n">
        <v>1.6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s="2" t="inlineStr"/>
    </row>
    <row r="5119" ht="15" customHeight="1">
      <c r="A5119" t="inlineStr">
        <is>
          <t>A 15676-2023</t>
        </is>
      </c>
      <c r="B5119" s="1" t="n">
        <v>45021</v>
      </c>
      <c r="C5119" s="1" t="n">
        <v>45211</v>
      </c>
      <c r="D5119" t="inlineStr">
        <is>
          <t>ÖSTERGÖTLANDS LÄN</t>
        </is>
      </c>
      <c r="E5119" t="inlineStr">
        <is>
          <t>FINSPÅNG</t>
        </is>
      </c>
      <c r="G5119" t="n">
        <v>3.9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s="2" t="inlineStr"/>
    </row>
    <row r="5120" ht="15" customHeight="1">
      <c r="A5120" t="inlineStr">
        <is>
          <t>A 15674-2023</t>
        </is>
      </c>
      <c r="B5120" s="1" t="n">
        <v>45021</v>
      </c>
      <c r="C5120" s="1" t="n">
        <v>45211</v>
      </c>
      <c r="D5120" t="inlineStr">
        <is>
          <t>ÖSTERGÖTLANDS LÄN</t>
        </is>
      </c>
      <c r="E5120" t="inlineStr">
        <is>
          <t>FINSPÅNG</t>
        </is>
      </c>
      <c r="G5120" t="n">
        <v>1.9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s="2" t="inlineStr"/>
    </row>
    <row r="5121" ht="15" customHeight="1">
      <c r="A5121" t="inlineStr">
        <is>
          <t>A 15669-2023</t>
        </is>
      </c>
      <c r="B5121" s="1" t="n">
        <v>45021</v>
      </c>
      <c r="C5121" s="1" t="n">
        <v>45211</v>
      </c>
      <c r="D5121" t="inlineStr">
        <is>
          <t>ÖSTERGÖTLANDS LÄN</t>
        </is>
      </c>
      <c r="E5121" t="inlineStr">
        <is>
          <t>FINSPÅNG</t>
        </is>
      </c>
      <c r="G5121" t="n">
        <v>1.9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s="2" t="inlineStr"/>
    </row>
    <row r="5122" ht="15" customHeight="1">
      <c r="A5122" t="inlineStr">
        <is>
          <t>A 15901-2023</t>
        </is>
      </c>
      <c r="B5122" s="1" t="n">
        <v>45022</v>
      </c>
      <c r="C5122" s="1" t="n">
        <v>45211</v>
      </c>
      <c r="D5122" t="inlineStr">
        <is>
          <t>ÖSTERGÖTLANDS LÄN</t>
        </is>
      </c>
      <c r="E5122" t="inlineStr">
        <is>
          <t>FINSPÅNG</t>
        </is>
      </c>
      <c r="F5122" t="inlineStr">
        <is>
          <t>Holmen skog AB</t>
        </is>
      </c>
      <c r="G5122" t="n">
        <v>2.1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s="2" t="inlineStr"/>
    </row>
    <row r="5123" ht="15" customHeight="1">
      <c r="A5123" t="inlineStr">
        <is>
          <t>A 15950-2023</t>
        </is>
      </c>
      <c r="B5123" s="1" t="n">
        <v>45022</v>
      </c>
      <c r="C5123" s="1" t="n">
        <v>45211</v>
      </c>
      <c r="D5123" t="inlineStr">
        <is>
          <t>ÖSTERGÖTLANDS LÄN</t>
        </is>
      </c>
      <c r="E5123" t="inlineStr">
        <is>
          <t>FINSPÅNG</t>
        </is>
      </c>
      <c r="F5123" t="inlineStr">
        <is>
          <t>Holmen skog AB</t>
        </is>
      </c>
      <c r="G5123" t="n">
        <v>2.6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s="2" t="inlineStr"/>
    </row>
    <row r="5124" ht="15" customHeight="1">
      <c r="A5124" t="inlineStr">
        <is>
          <t>A 15865-2023</t>
        </is>
      </c>
      <c r="B5124" s="1" t="n">
        <v>45022</v>
      </c>
      <c r="C5124" s="1" t="n">
        <v>45211</v>
      </c>
      <c r="D5124" t="inlineStr">
        <is>
          <t>ÖSTERGÖTLANDS LÄN</t>
        </is>
      </c>
      <c r="E5124" t="inlineStr">
        <is>
          <t>FINSPÅNG</t>
        </is>
      </c>
      <c r="F5124" t="inlineStr">
        <is>
          <t>Holmen skog AB</t>
        </is>
      </c>
      <c r="G5124" t="n">
        <v>0.6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s="2" t="inlineStr"/>
    </row>
    <row r="5125" ht="15" customHeight="1">
      <c r="A5125" t="inlineStr">
        <is>
          <t>A 15911-2023</t>
        </is>
      </c>
      <c r="B5125" s="1" t="n">
        <v>45022</v>
      </c>
      <c r="C5125" s="1" t="n">
        <v>45211</v>
      </c>
      <c r="D5125" t="inlineStr">
        <is>
          <t>ÖSTERGÖTLANDS LÄN</t>
        </is>
      </c>
      <c r="E5125" t="inlineStr">
        <is>
          <t>ÅTVIDABERG</t>
        </is>
      </c>
      <c r="G5125" t="n">
        <v>0.4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s="2" t="inlineStr"/>
    </row>
    <row r="5126" ht="15" customHeight="1">
      <c r="A5126" t="inlineStr">
        <is>
          <t>A 15951-2023</t>
        </is>
      </c>
      <c r="B5126" s="1" t="n">
        <v>45022</v>
      </c>
      <c r="C5126" s="1" t="n">
        <v>45211</v>
      </c>
      <c r="D5126" t="inlineStr">
        <is>
          <t>ÖSTERGÖTLANDS LÄN</t>
        </is>
      </c>
      <c r="E5126" t="inlineStr">
        <is>
          <t>YDRE</t>
        </is>
      </c>
      <c r="F5126" t="inlineStr">
        <is>
          <t>Övriga Aktiebolag</t>
        </is>
      </c>
      <c r="G5126" t="n">
        <v>6.5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s="2" t="inlineStr"/>
    </row>
    <row r="5127" ht="15" customHeight="1">
      <c r="A5127" t="inlineStr">
        <is>
          <t>A 16277-2023</t>
        </is>
      </c>
      <c r="B5127" s="1" t="n">
        <v>45022</v>
      </c>
      <c r="C5127" s="1" t="n">
        <v>45211</v>
      </c>
      <c r="D5127" t="inlineStr">
        <is>
          <t>ÖSTERGÖTLANDS LÄN</t>
        </is>
      </c>
      <c r="E5127" t="inlineStr">
        <is>
          <t>KINDA</t>
        </is>
      </c>
      <c r="G5127" t="n">
        <v>6.9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s="2" t="inlineStr"/>
    </row>
    <row r="5128" ht="15" customHeight="1">
      <c r="A5128" t="inlineStr">
        <is>
          <t>A 15947-2023</t>
        </is>
      </c>
      <c r="B5128" s="1" t="n">
        <v>45022</v>
      </c>
      <c r="C5128" s="1" t="n">
        <v>45211</v>
      </c>
      <c r="D5128" t="inlineStr">
        <is>
          <t>ÖSTERGÖTLANDS LÄN</t>
        </is>
      </c>
      <c r="E5128" t="inlineStr">
        <is>
          <t>FINSPÅNG</t>
        </is>
      </c>
      <c r="F5128" t="inlineStr">
        <is>
          <t>Holmen skog AB</t>
        </is>
      </c>
      <c r="G5128" t="n">
        <v>1.1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s="2" t="inlineStr"/>
    </row>
    <row r="5129" ht="15" customHeight="1">
      <c r="A5129" t="inlineStr">
        <is>
          <t>A 15967-2023</t>
        </is>
      </c>
      <c r="B5129" s="1" t="n">
        <v>45022</v>
      </c>
      <c r="C5129" s="1" t="n">
        <v>45211</v>
      </c>
      <c r="D5129" t="inlineStr">
        <is>
          <t>ÖSTERGÖTLANDS LÄN</t>
        </is>
      </c>
      <c r="E5129" t="inlineStr">
        <is>
          <t>FINSPÅNG</t>
        </is>
      </c>
      <c r="F5129" t="inlineStr">
        <is>
          <t>Naturvårdsverket</t>
        </is>
      </c>
      <c r="G5129" t="n">
        <v>7.1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s="2" t="inlineStr"/>
    </row>
    <row r="5130" ht="15" customHeight="1">
      <c r="A5130" t="inlineStr">
        <is>
          <t>A 15866-2023</t>
        </is>
      </c>
      <c r="B5130" s="1" t="n">
        <v>45022</v>
      </c>
      <c r="C5130" s="1" t="n">
        <v>45211</v>
      </c>
      <c r="D5130" t="inlineStr">
        <is>
          <t>ÖSTERGÖTLANDS LÄN</t>
        </is>
      </c>
      <c r="E5130" t="inlineStr">
        <is>
          <t>LINKÖPING</t>
        </is>
      </c>
      <c r="G5130" t="n">
        <v>1.6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s="2" t="inlineStr"/>
    </row>
    <row r="5131" ht="15" customHeight="1">
      <c r="A5131" t="inlineStr">
        <is>
          <t>A 15913-2023</t>
        </is>
      </c>
      <c r="B5131" s="1" t="n">
        <v>45022</v>
      </c>
      <c r="C5131" s="1" t="n">
        <v>45211</v>
      </c>
      <c r="D5131" t="inlineStr">
        <is>
          <t>ÖSTERGÖTLANDS LÄN</t>
        </is>
      </c>
      <c r="E5131" t="inlineStr">
        <is>
          <t>ÅTVIDABERG</t>
        </is>
      </c>
      <c r="G5131" t="n">
        <v>0.3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s="2" t="inlineStr"/>
    </row>
    <row r="5132" ht="15" customHeight="1">
      <c r="A5132" t="inlineStr">
        <is>
          <t>A 16156-2023</t>
        </is>
      </c>
      <c r="B5132" s="1" t="n">
        <v>45027</v>
      </c>
      <c r="C5132" s="1" t="n">
        <v>45211</v>
      </c>
      <c r="D5132" t="inlineStr">
        <is>
          <t>ÖSTERGÖTLANDS LÄN</t>
        </is>
      </c>
      <c r="E5132" t="inlineStr">
        <is>
          <t>BOXHOLM</t>
        </is>
      </c>
      <c r="F5132" t="inlineStr">
        <is>
          <t>Allmännings- och besparingsskogar</t>
        </is>
      </c>
      <c r="G5132" t="n">
        <v>6.2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s="2" t="inlineStr"/>
    </row>
    <row r="5133" ht="15" customHeight="1">
      <c r="A5133" t="inlineStr">
        <is>
          <t>A 16162-2023</t>
        </is>
      </c>
      <c r="B5133" s="1" t="n">
        <v>45027</v>
      </c>
      <c r="C5133" s="1" t="n">
        <v>45211</v>
      </c>
      <c r="D5133" t="inlineStr">
        <is>
          <t>ÖSTERGÖTLANDS LÄN</t>
        </is>
      </c>
      <c r="E5133" t="inlineStr">
        <is>
          <t>ÖDESHÖG</t>
        </is>
      </c>
      <c r="F5133" t="inlineStr">
        <is>
          <t>Allmännings- och besparingsskogar</t>
        </is>
      </c>
      <c r="G5133" t="n">
        <v>1.6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s="2" t="inlineStr"/>
    </row>
    <row r="5134" ht="15" customHeight="1">
      <c r="A5134" t="inlineStr">
        <is>
          <t>A 16604-2023</t>
        </is>
      </c>
      <c r="B5134" s="1" t="n">
        <v>45027</v>
      </c>
      <c r="C5134" s="1" t="n">
        <v>45211</v>
      </c>
      <c r="D5134" t="inlineStr">
        <is>
          <t>ÖSTERGÖTLANDS LÄN</t>
        </is>
      </c>
      <c r="E5134" t="inlineStr">
        <is>
          <t>NORRKÖPING</t>
        </is>
      </c>
      <c r="G5134" t="n">
        <v>0.7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s="2" t="inlineStr"/>
    </row>
    <row r="5135" ht="15" customHeight="1">
      <c r="A5135" t="inlineStr">
        <is>
          <t>A 16164-2023</t>
        </is>
      </c>
      <c r="B5135" s="1" t="n">
        <v>45027</v>
      </c>
      <c r="C5135" s="1" t="n">
        <v>45211</v>
      </c>
      <c r="D5135" t="inlineStr">
        <is>
          <t>ÖSTERGÖTLANDS LÄN</t>
        </is>
      </c>
      <c r="E5135" t="inlineStr">
        <is>
          <t>ÖDESHÖG</t>
        </is>
      </c>
      <c r="F5135" t="inlineStr">
        <is>
          <t>Allmännings- och besparingsskogar</t>
        </is>
      </c>
      <c r="G5135" t="n">
        <v>1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s="2" t="inlineStr"/>
    </row>
    <row r="5136" ht="15" customHeight="1">
      <c r="A5136" t="inlineStr">
        <is>
          <t>A 16594-2023</t>
        </is>
      </c>
      <c r="B5136" s="1" t="n">
        <v>45027</v>
      </c>
      <c r="C5136" s="1" t="n">
        <v>45211</v>
      </c>
      <c r="D5136" t="inlineStr">
        <is>
          <t>ÖSTERGÖTLANDS LÄN</t>
        </is>
      </c>
      <c r="E5136" t="inlineStr">
        <is>
          <t>NORRKÖPING</t>
        </is>
      </c>
      <c r="G5136" t="n">
        <v>1.6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s="2" t="inlineStr"/>
    </row>
    <row r="5137" ht="15" customHeight="1">
      <c r="A5137" t="inlineStr">
        <is>
          <t>A 16167-2023</t>
        </is>
      </c>
      <c r="B5137" s="1" t="n">
        <v>45027</v>
      </c>
      <c r="C5137" s="1" t="n">
        <v>45211</v>
      </c>
      <c r="D5137" t="inlineStr">
        <is>
          <t>ÖSTERGÖTLANDS LÄN</t>
        </is>
      </c>
      <c r="E5137" t="inlineStr">
        <is>
          <t>ÖDESHÖG</t>
        </is>
      </c>
      <c r="F5137" t="inlineStr">
        <is>
          <t>Allmännings- och besparingsskogar</t>
        </is>
      </c>
      <c r="G5137" t="n">
        <v>4.4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s="2" t="inlineStr"/>
    </row>
    <row r="5138" ht="15" customHeight="1">
      <c r="A5138" t="inlineStr">
        <is>
          <t>A 16251-2023</t>
        </is>
      </c>
      <c r="B5138" s="1" t="n">
        <v>45028</v>
      </c>
      <c r="C5138" s="1" t="n">
        <v>45211</v>
      </c>
      <c r="D5138" t="inlineStr">
        <is>
          <t>ÖSTERGÖTLANDS LÄN</t>
        </is>
      </c>
      <c r="E5138" t="inlineStr">
        <is>
          <t>NORRKÖPING</t>
        </is>
      </c>
      <c r="G5138" t="n">
        <v>1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s="2" t="inlineStr"/>
    </row>
    <row r="5139" ht="15" customHeight="1">
      <c r="A5139" t="inlineStr">
        <is>
          <t>A 16342-2023</t>
        </is>
      </c>
      <c r="B5139" s="1" t="n">
        <v>45028</v>
      </c>
      <c r="C5139" s="1" t="n">
        <v>45211</v>
      </c>
      <c r="D5139" t="inlineStr">
        <is>
          <t>ÖSTERGÖTLANDS LÄN</t>
        </is>
      </c>
      <c r="E5139" t="inlineStr">
        <is>
          <t>VALDEMARSVIK</t>
        </is>
      </c>
      <c r="G5139" t="n">
        <v>4.1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s="2" t="inlineStr"/>
    </row>
    <row r="5140" ht="15" customHeight="1">
      <c r="A5140" t="inlineStr">
        <is>
          <t>A 16252-2023</t>
        </is>
      </c>
      <c r="B5140" s="1" t="n">
        <v>45028</v>
      </c>
      <c r="C5140" s="1" t="n">
        <v>45211</v>
      </c>
      <c r="D5140" t="inlineStr">
        <is>
          <t>ÖSTERGÖTLANDS LÄN</t>
        </is>
      </c>
      <c r="E5140" t="inlineStr">
        <is>
          <t>NORRKÖPING</t>
        </is>
      </c>
      <c r="G5140" t="n">
        <v>2.5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s="2" t="inlineStr"/>
    </row>
    <row r="5141" ht="15" customHeight="1">
      <c r="A5141" t="inlineStr">
        <is>
          <t>A 16253-2023</t>
        </is>
      </c>
      <c r="B5141" s="1" t="n">
        <v>45028</v>
      </c>
      <c r="C5141" s="1" t="n">
        <v>45211</v>
      </c>
      <c r="D5141" t="inlineStr">
        <is>
          <t>ÖSTERGÖTLANDS LÄN</t>
        </is>
      </c>
      <c r="E5141" t="inlineStr">
        <is>
          <t>NORRKÖPING</t>
        </is>
      </c>
      <c r="G5141" t="n">
        <v>1.4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s="2" t="inlineStr"/>
    </row>
    <row r="5142" ht="15" customHeight="1">
      <c r="A5142" t="inlineStr">
        <is>
          <t>A 16272-2023</t>
        </is>
      </c>
      <c r="B5142" s="1" t="n">
        <v>45028</v>
      </c>
      <c r="C5142" s="1" t="n">
        <v>45211</v>
      </c>
      <c r="D5142" t="inlineStr">
        <is>
          <t>ÖSTERGÖTLANDS LÄN</t>
        </is>
      </c>
      <c r="E5142" t="inlineStr">
        <is>
          <t>SÖDERKÖPING</t>
        </is>
      </c>
      <c r="G5142" t="n">
        <v>4.3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s="2" t="inlineStr"/>
    </row>
    <row r="5143" ht="15" customHeight="1">
      <c r="A5143" t="inlineStr">
        <is>
          <t>A 16286-2023</t>
        </is>
      </c>
      <c r="B5143" s="1" t="n">
        <v>45028</v>
      </c>
      <c r="C5143" s="1" t="n">
        <v>45211</v>
      </c>
      <c r="D5143" t="inlineStr">
        <is>
          <t>ÖSTERGÖTLANDS LÄN</t>
        </is>
      </c>
      <c r="E5143" t="inlineStr">
        <is>
          <t>SÖDERKÖPING</t>
        </is>
      </c>
      <c r="G5143" t="n">
        <v>0.6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s="2" t="inlineStr"/>
    </row>
    <row r="5144" ht="15" customHeight="1">
      <c r="A5144" t="inlineStr">
        <is>
          <t>A 16541-2023</t>
        </is>
      </c>
      <c r="B5144" s="1" t="n">
        <v>45029</v>
      </c>
      <c r="C5144" s="1" t="n">
        <v>45211</v>
      </c>
      <c r="D5144" t="inlineStr">
        <is>
          <t>ÖSTERGÖTLANDS LÄN</t>
        </is>
      </c>
      <c r="E5144" t="inlineStr">
        <is>
          <t>KINDA</t>
        </is>
      </c>
      <c r="G5144" t="n">
        <v>1.2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s="2" t="inlineStr"/>
    </row>
    <row r="5145" ht="15" customHeight="1">
      <c r="A5145" t="inlineStr">
        <is>
          <t>A 16452-2023</t>
        </is>
      </c>
      <c r="B5145" s="1" t="n">
        <v>45029</v>
      </c>
      <c r="C5145" s="1" t="n">
        <v>45211</v>
      </c>
      <c r="D5145" t="inlineStr">
        <is>
          <t>ÖSTERGÖTLANDS LÄN</t>
        </is>
      </c>
      <c r="E5145" t="inlineStr">
        <is>
          <t>MOTALA</t>
        </is>
      </c>
      <c r="G5145" t="n">
        <v>0.7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s="2" t="inlineStr"/>
    </row>
    <row r="5146" ht="15" customHeight="1">
      <c r="A5146" t="inlineStr">
        <is>
          <t>A 16607-2023</t>
        </is>
      </c>
      <c r="B5146" s="1" t="n">
        <v>45030</v>
      </c>
      <c r="C5146" s="1" t="n">
        <v>45211</v>
      </c>
      <c r="D5146" t="inlineStr">
        <is>
          <t>ÖSTERGÖTLANDS LÄN</t>
        </is>
      </c>
      <c r="E5146" t="inlineStr">
        <is>
          <t>KINDA</t>
        </is>
      </c>
      <c r="G5146" t="n">
        <v>4.7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s="2" t="inlineStr"/>
    </row>
    <row r="5147" ht="15" customHeight="1">
      <c r="A5147" t="inlineStr">
        <is>
          <t>A 16700-2023</t>
        </is>
      </c>
      <c r="B5147" s="1" t="n">
        <v>45030</v>
      </c>
      <c r="C5147" s="1" t="n">
        <v>45211</v>
      </c>
      <c r="D5147" t="inlineStr">
        <is>
          <t>ÖSTERGÖTLANDS LÄN</t>
        </is>
      </c>
      <c r="E5147" t="inlineStr">
        <is>
          <t>NORRKÖPING</t>
        </is>
      </c>
      <c r="G5147" t="n">
        <v>3.6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s="2" t="inlineStr"/>
    </row>
    <row r="5148" ht="15" customHeight="1">
      <c r="A5148" t="inlineStr">
        <is>
          <t>A 16708-2023</t>
        </is>
      </c>
      <c r="B5148" s="1" t="n">
        <v>45030</v>
      </c>
      <c r="C5148" s="1" t="n">
        <v>45211</v>
      </c>
      <c r="D5148" t="inlineStr">
        <is>
          <t>ÖSTERGÖTLANDS LÄN</t>
        </is>
      </c>
      <c r="E5148" t="inlineStr">
        <is>
          <t>NORRKÖPING</t>
        </is>
      </c>
      <c r="G5148" t="n">
        <v>6.4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s="2" t="inlineStr"/>
    </row>
    <row r="5149" ht="15" customHeight="1">
      <c r="A5149" t="inlineStr">
        <is>
          <t>A 16610-2023</t>
        </is>
      </c>
      <c r="B5149" s="1" t="n">
        <v>45030</v>
      </c>
      <c r="C5149" s="1" t="n">
        <v>45211</v>
      </c>
      <c r="D5149" t="inlineStr">
        <is>
          <t>ÖSTERGÖTLANDS LÄN</t>
        </is>
      </c>
      <c r="E5149" t="inlineStr">
        <is>
          <t>KINDA</t>
        </is>
      </c>
      <c r="G5149" t="n">
        <v>3.4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s="2" t="inlineStr"/>
    </row>
    <row r="5150" ht="15" customHeight="1">
      <c r="A5150" t="inlineStr">
        <is>
          <t>A 16659-2023</t>
        </is>
      </c>
      <c r="B5150" s="1" t="n">
        <v>45030</v>
      </c>
      <c r="C5150" s="1" t="n">
        <v>45211</v>
      </c>
      <c r="D5150" t="inlineStr">
        <is>
          <t>ÖSTERGÖTLANDS LÄN</t>
        </is>
      </c>
      <c r="E5150" t="inlineStr">
        <is>
          <t>NORRKÖPING</t>
        </is>
      </c>
      <c r="G5150" t="n">
        <v>5.4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s="2" t="inlineStr"/>
    </row>
    <row r="5151" ht="15" customHeight="1">
      <c r="A5151" t="inlineStr">
        <is>
          <t>A 16692-2023</t>
        </is>
      </c>
      <c r="B5151" s="1" t="n">
        <v>45030</v>
      </c>
      <c r="C5151" s="1" t="n">
        <v>45211</v>
      </c>
      <c r="D5151" t="inlineStr">
        <is>
          <t>ÖSTERGÖTLANDS LÄN</t>
        </is>
      </c>
      <c r="E5151" t="inlineStr">
        <is>
          <t>NORRKÖPING</t>
        </is>
      </c>
      <c r="G5151" t="n">
        <v>1.8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s="2" t="inlineStr"/>
    </row>
    <row r="5152" ht="15" customHeight="1">
      <c r="A5152" t="inlineStr">
        <is>
          <t>A 16611-2023</t>
        </is>
      </c>
      <c r="B5152" s="1" t="n">
        <v>45030</v>
      </c>
      <c r="C5152" s="1" t="n">
        <v>45211</v>
      </c>
      <c r="D5152" t="inlineStr">
        <is>
          <t>ÖSTERGÖTLANDS LÄN</t>
        </is>
      </c>
      <c r="E5152" t="inlineStr">
        <is>
          <t>KINDA</t>
        </is>
      </c>
      <c r="G5152" t="n">
        <v>4.3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s="2" t="inlineStr"/>
    </row>
    <row r="5153" ht="15" customHeight="1">
      <c r="A5153" t="inlineStr">
        <is>
          <t>A 16689-2023</t>
        </is>
      </c>
      <c r="B5153" s="1" t="n">
        <v>45030</v>
      </c>
      <c r="C5153" s="1" t="n">
        <v>45211</v>
      </c>
      <c r="D5153" t="inlineStr">
        <is>
          <t>ÖSTERGÖTLANDS LÄN</t>
        </is>
      </c>
      <c r="E5153" t="inlineStr">
        <is>
          <t>NORRKÖPING</t>
        </is>
      </c>
      <c r="G5153" t="n">
        <v>2.1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s="2" t="inlineStr"/>
    </row>
    <row r="5154" ht="15" customHeight="1">
      <c r="A5154" t="inlineStr">
        <is>
          <t>A 16714-2023</t>
        </is>
      </c>
      <c r="B5154" s="1" t="n">
        <v>45030</v>
      </c>
      <c r="C5154" s="1" t="n">
        <v>45211</v>
      </c>
      <c r="D5154" t="inlineStr">
        <is>
          <t>ÖSTERGÖTLANDS LÄN</t>
        </is>
      </c>
      <c r="E5154" t="inlineStr">
        <is>
          <t>NORRKÖPING</t>
        </is>
      </c>
      <c r="G5154" t="n">
        <v>2.5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s="2" t="inlineStr"/>
    </row>
    <row r="5155" ht="15" customHeight="1">
      <c r="A5155" t="inlineStr">
        <is>
          <t>A 16586-2023</t>
        </is>
      </c>
      <c r="B5155" s="1" t="n">
        <v>45030</v>
      </c>
      <c r="C5155" s="1" t="n">
        <v>45211</v>
      </c>
      <c r="D5155" t="inlineStr">
        <is>
          <t>ÖSTERGÖTLANDS LÄN</t>
        </is>
      </c>
      <c r="E5155" t="inlineStr">
        <is>
          <t>MOTALA</t>
        </is>
      </c>
      <c r="F5155" t="inlineStr">
        <is>
          <t>Kyrkan</t>
        </is>
      </c>
      <c r="G5155" t="n">
        <v>0.7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s="2" t="inlineStr"/>
    </row>
    <row r="5156" ht="15" customHeight="1">
      <c r="A5156" t="inlineStr">
        <is>
          <t>A 16609-2023</t>
        </is>
      </c>
      <c r="B5156" s="1" t="n">
        <v>45030</v>
      </c>
      <c r="C5156" s="1" t="n">
        <v>45211</v>
      </c>
      <c r="D5156" t="inlineStr">
        <is>
          <t>ÖSTERGÖTLANDS LÄN</t>
        </is>
      </c>
      <c r="E5156" t="inlineStr">
        <is>
          <t>KINDA</t>
        </is>
      </c>
      <c r="G5156" t="n">
        <v>5.5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s="2" t="inlineStr"/>
    </row>
    <row r="5157" ht="15" customHeight="1">
      <c r="A5157" t="inlineStr">
        <is>
          <t>A 16691-2023</t>
        </is>
      </c>
      <c r="B5157" s="1" t="n">
        <v>45030</v>
      </c>
      <c r="C5157" s="1" t="n">
        <v>45211</v>
      </c>
      <c r="D5157" t="inlineStr">
        <is>
          <t>ÖSTERGÖTLANDS LÄN</t>
        </is>
      </c>
      <c r="E5157" t="inlineStr">
        <is>
          <t>NORRKÖPING</t>
        </is>
      </c>
      <c r="G5157" t="n">
        <v>4.1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s="2" t="inlineStr"/>
    </row>
    <row r="5158" ht="15" customHeight="1">
      <c r="A5158" t="inlineStr">
        <is>
          <t>A 16711-2023</t>
        </is>
      </c>
      <c r="B5158" s="1" t="n">
        <v>45030</v>
      </c>
      <c r="C5158" s="1" t="n">
        <v>45211</v>
      </c>
      <c r="D5158" t="inlineStr">
        <is>
          <t>ÖSTERGÖTLANDS LÄN</t>
        </is>
      </c>
      <c r="E5158" t="inlineStr">
        <is>
          <t>NORRKÖPING</t>
        </is>
      </c>
      <c r="G5158" t="n">
        <v>1.8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s="2" t="inlineStr"/>
    </row>
    <row r="5159" ht="15" customHeight="1">
      <c r="A5159" t="inlineStr">
        <is>
          <t>A 16880-2023</t>
        </is>
      </c>
      <c r="B5159" s="1" t="n">
        <v>45033</v>
      </c>
      <c r="C5159" s="1" t="n">
        <v>45211</v>
      </c>
      <c r="D5159" t="inlineStr">
        <is>
          <t>ÖSTERGÖTLANDS LÄN</t>
        </is>
      </c>
      <c r="E5159" t="inlineStr">
        <is>
          <t>FINSPÅNG</t>
        </is>
      </c>
      <c r="F5159" t="inlineStr">
        <is>
          <t>Holmen skog AB</t>
        </is>
      </c>
      <c r="G5159" t="n">
        <v>1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s="2" t="inlineStr"/>
    </row>
    <row r="5160" ht="15" customHeight="1">
      <c r="A5160" t="inlineStr">
        <is>
          <t>A 16918-2023</t>
        </is>
      </c>
      <c r="B5160" s="1" t="n">
        <v>45033</v>
      </c>
      <c r="C5160" s="1" t="n">
        <v>45211</v>
      </c>
      <c r="D5160" t="inlineStr">
        <is>
          <t>ÖSTERGÖTLANDS LÄN</t>
        </is>
      </c>
      <c r="E5160" t="inlineStr">
        <is>
          <t>NORRKÖPING</t>
        </is>
      </c>
      <c r="G5160" t="n">
        <v>2.6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s="2" t="inlineStr"/>
    </row>
    <row r="5161" ht="15" customHeight="1">
      <c r="A5161" t="inlineStr">
        <is>
          <t>A 16949-2023</t>
        </is>
      </c>
      <c r="B5161" s="1" t="n">
        <v>45033</v>
      </c>
      <c r="C5161" s="1" t="n">
        <v>45211</v>
      </c>
      <c r="D5161" t="inlineStr">
        <is>
          <t>ÖSTERGÖTLANDS LÄN</t>
        </is>
      </c>
      <c r="E5161" t="inlineStr">
        <is>
          <t>NORRKÖPING</t>
        </is>
      </c>
      <c r="G5161" t="n">
        <v>0.9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s="2" t="inlineStr"/>
    </row>
    <row r="5162" ht="15" customHeight="1">
      <c r="A5162" t="inlineStr">
        <is>
          <t>A 16971-2023</t>
        </is>
      </c>
      <c r="B5162" s="1" t="n">
        <v>45033</v>
      </c>
      <c r="C5162" s="1" t="n">
        <v>45211</v>
      </c>
      <c r="D5162" t="inlineStr">
        <is>
          <t>ÖSTERGÖTLANDS LÄN</t>
        </is>
      </c>
      <c r="E5162" t="inlineStr">
        <is>
          <t>FINSPÅNG</t>
        </is>
      </c>
      <c r="F5162" t="inlineStr">
        <is>
          <t>Naturvårdsverket</t>
        </is>
      </c>
      <c r="G5162" t="n">
        <v>0.9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s="2" t="inlineStr"/>
    </row>
    <row r="5163" ht="15" customHeight="1">
      <c r="A5163" t="inlineStr">
        <is>
          <t>A 16964-2023</t>
        </is>
      </c>
      <c r="B5163" s="1" t="n">
        <v>45033</v>
      </c>
      <c r="C5163" s="1" t="n">
        <v>45211</v>
      </c>
      <c r="D5163" t="inlineStr">
        <is>
          <t>ÖSTERGÖTLANDS LÄN</t>
        </is>
      </c>
      <c r="E5163" t="inlineStr">
        <is>
          <t>FINSPÅNG</t>
        </is>
      </c>
      <c r="F5163" t="inlineStr">
        <is>
          <t>Naturvårdsverket</t>
        </is>
      </c>
      <c r="G5163" t="n">
        <v>0.8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s="2" t="inlineStr"/>
    </row>
    <row r="5164" ht="15" customHeight="1">
      <c r="A5164" t="inlineStr">
        <is>
          <t>A 16975-2023</t>
        </is>
      </c>
      <c r="B5164" s="1" t="n">
        <v>45033</v>
      </c>
      <c r="C5164" s="1" t="n">
        <v>45211</v>
      </c>
      <c r="D5164" t="inlineStr">
        <is>
          <t>ÖSTERGÖTLANDS LÄN</t>
        </is>
      </c>
      <c r="E5164" t="inlineStr">
        <is>
          <t>FINSPÅNG</t>
        </is>
      </c>
      <c r="F5164" t="inlineStr">
        <is>
          <t>Naturvårdsverket</t>
        </is>
      </c>
      <c r="G5164" t="n">
        <v>0.5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s="2" t="inlineStr"/>
    </row>
    <row r="5165" ht="15" customHeight="1">
      <c r="A5165" t="inlineStr">
        <is>
          <t>A 17142-2023</t>
        </is>
      </c>
      <c r="B5165" s="1" t="n">
        <v>45034</v>
      </c>
      <c r="C5165" s="1" t="n">
        <v>45211</v>
      </c>
      <c r="D5165" t="inlineStr">
        <is>
          <t>ÖSTERGÖTLANDS LÄN</t>
        </is>
      </c>
      <c r="E5165" t="inlineStr">
        <is>
          <t>MOTALA</t>
        </is>
      </c>
      <c r="G5165" t="n">
        <v>2.5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s="2" t="inlineStr"/>
    </row>
    <row r="5166" ht="15" customHeight="1">
      <c r="A5166" t="inlineStr">
        <is>
          <t>A 17151-2023</t>
        </is>
      </c>
      <c r="B5166" s="1" t="n">
        <v>45034</v>
      </c>
      <c r="C5166" s="1" t="n">
        <v>45211</v>
      </c>
      <c r="D5166" t="inlineStr">
        <is>
          <t>ÖSTERGÖTLANDS LÄN</t>
        </is>
      </c>
      <c r="E5166" t="inlineStr">
        <is>
          <t>MOTALA</t>
        </is>
      </c>
      <c r="G5166" t="n">
        <v>1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s="2" t="inlineStr"/>
    </row>
    <row r="5167" ht="15" customHeight="1">
      <c r="A5167" t="inlineStr">
        <is>
          <t>A 17148-2023</t>
        </is>
      </c>
      <c r="B5167" s="1" t="n">
        <v>45034</v>
      </c>
      <c r="C5167" s="1" t="n">
        <v>45211</v>
      </c>
      <c r="D5167" t="inlineStr">
        <is>
          <t>ÖSTERGÖTLANDS LÄN</t>
        </is>
      </c>
      <c r="E5167" t="inlineStr">
        <is>
          <t>MOTALA</t>
        </is>
      </c>
      <c r="G5167" t="n">
        <v>0.6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s="2" t="inlineStr"/>
    </row>
    <row r="5168" ht="15" customHeight="1">
      <c r="A5168" t="inlineStr">
        <is>
          <t>A 17366-2023</t>
        </is>
      </c>
      <c r="B5168" s="1" t="n">
        <v>45035</v>
      </c>
      <c r="C5168" s="1" t="n">
        <v>45211</v>
      </c>
      <c r="D5168" t="inlineStr">
        <is>
          <t>ÖSTERGÖTLANDS LÄN</t>
        </is>
      </c>
      <c r="E5168" t="inlineStr">
        <is>
          <t>KINDA</t>
        </is>
      </c>
      <c r="G5168" t="n">
        <v>0.5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s="2" t="inlineStr"/>
    </row>
    <row r="5169" ht="15" customHeight="1">
      <c r="A5169" t="inlineStr">
        <is>
          <t>A 17260-2023</t>
        </is>
      </c>
      <c r="B5169" s="1" t="n">
        <v>45035</v>
      </c>
      <c r="C5169" s="1" t="n">
        <v>45211</v>
      </c>
      <c r="D5169" t="inlineStr">
        <is>
          <t>ÖSTERGÖTLANDS LÄN</t>
        </is>
      </c>
      <c r="E5169" t="inlineStr">
        <is>
          <t>VALDEMARSVIK</t>
        </is>
      </c>
      <c r="F5169" t="inlineStr">
        <is>
          <t>Holmen skog AB</t>
        </is>
      </c>
      <c r="G5169" t="n">
        <v>2.7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s="2" t="inlineStr"/>
    </row>
    <row r="5170" ht="15" customHeight="1">
      <c r="A5170" t="inlineStr">
        <is>
          <t>A 17296-2023</t>
        </is>
      </c>
      <c r="B5170" s="1" t="n">
        <v>45035</v>
      </c>
      <c r="C5170" s="1" t="n">
        <v>45211</v>
      </c>
      <c r="D5170" t="inlineStr">
        <is>
          <t>ÖSTERGÖTLANDS LÄN</t>
        </is>
      </c>
      <c r="E5170" t="inlineStr">
        <is>
          <t>VALDEMARSVIK</t>
        </is>
      </c>
      <c r="F5170" t="inlineStr">
        <is>
          <t>Holmen skog AB</t>
        </is>
      </c>
      <c r="G5170" t="n">
        <v>1.5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s="2" t="inlineStr"/>
    </row>
    <row r="5171" ht="15" customHeight="1">
      <c r="A5171" t="inlineStr">
        <is>
          <t>A 17638-2023</t>
        </is>
      </c>
      <c r="B5171" s="1" t="n">
        <v>45036</v>
      </c>
      <c r="C5171" s="1" t="n">
        <v>45211</v>
      </c>
      <c r="D5171" t="inlineStr">
        <is>
          <t>ÖSTERGÖTLANDS LÄN</t>
        </is>
      </c>
      <c r="E5171" t="inlineStr">
        <is>
          <t>KINDA</t>
        </is>
      </c>
      <c r="G5171" t="n">
        <v>2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s="2" t="inlineStr"/>
    </row>
    <row r="5172" ht="15" customHeight="1">
      <c r="A5172" t="inlineStr">
        <is>
          <t>A 17585-2023</t>
        </is>
      </c>
      <c r="B5172" s="1" t="n">
        <v>45036</v>
      </c>
      <c r="C5172" s="1" t="n">
        <v>45211</v>
      </c>
      <c r="D5172" t="inlineStr">
        <is>
          <t>ÖSTERGÖTLANDS LÄN</t>
        </is>
      </c>
      <c r="E5172" t="inlineStr">
        <is>
          <t>VALDEMARSVIK</t>
        </is>
      </c>
      <c r="G5172" t="n">
        <v>0.4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s="2" t="inlineStr"/>
    </row>
    <row r="5173" ht="15" customHeight="1">
      <c r="A5173" t="inlineStr">
        <is>
          <t>A 17590-2023</t>
        </is>
      </c>
      <c r="B5173" s="1" t="n">
        <v>45036</v>
      </c>
      <c r="C5173" s="1" t="n">
        <v>45211</v>
      </c>
      <c r="D5173" t="inlineStr">
        <is>
          <t>ÖSTERGÖTLANDS LÄN</t>
        </is>
      </c>
      <c r="E5173" t="inlineStr">
        <is>
          <t>VALDEMARSVIK</t>
        </is>
      </c>
      <c r="G5173" t="n">
        <v>2.3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s="2" t="inlineStr"/>
    </row>
    <row r="5174" ht="15" customHeight="1">
      <c r="A5174" t="inlineStr">
        <is>
          <t>A 17646-2023</t>
        </is>
      </c>
      <c r="B5174" s="1" t="n">
        <v>45036</v>
      </c>
      <c r="C5174" s="1" t="n">
        <v>45211</v>
      </c>
      <c r="D5174" t="inlineStr">
        <is>
          <t>ÖSTERGÖTLANDS LÄN</t>
        </is>
      </c>
      <c r="E5174" t="inlineStr">
        <is>
          <t>NORRKÖPING</t>
        </is>
      </c>
      <c r="G5174" t="n">
        <v>3.2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s="2" t="inlineStr"/>
    </row>
    <row r="5175" ht="15" customHeight="1">
      <c r="A5175" t="inlineStr">
        <is>
          <t>A 17637-2023</t>
        </is>
      </c>
      <c r="B5175" s="1" t="n">
        <v>45036</v>
      </c>
      <c r="C5175" s="1" t="n">
        <v>45211</v>
      </c>
      <c r="D5175" t="inlineStr">
        <is>
          <t>ÖSTERGÖTLANDS LÄN</t>
        </is>
      </c>
      <c r="E5175" t="inlineStr">
        <is>
          <t>KINDA</t>
        </is>
      </c>
      <c r="G5175" t="n">
        <v>1.2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s="2" t="inlineStr"/>
    </row>
    <row r="5176" ht="15" customHeight="1">
      <c r="A5176" t="inlineStr">
        <is>
          <t>A 17706-2023</t>
        </is>
      </c>
      <c r="B5176" s="1" t="n">
        <v>45037</v>
      </c>
      <c r="C5176" s="1" t="n">
        <v>45211</v>
      </c>
      <c r="D5176" t="inlineStr">
        <is>
          <t>ÖSTERGÖTLANDS LÄN</t>
        </is>
      </c>
      <c r="E5176" t="inlineStr">
        <is>
          <t>MJÖLBY</t>
        </is>
      </c>
      <c r="G5176" t="n">
        <v>2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s="2" t="inlineStr"/>
    </row>
    <row r="5177" ht="15" customHeight="1">
      <c r="A5177" t="inlineStr">
        <is>
          <t>A 17714-2023</t>
        </is>
      </c>
      <c r="B5177" s="1" t="n">
        <v>45037</v>
      </c>
      <c r="C5177" s="1" t="n">
        <v>45211</v>
      </c>
      <c r="D5177" t="inlineStr">
        <is>
          <t>ÖSTERGÖTLANDS LÄN</t>
        </is>
      </c>
      <c r="E5177" t="inlineStr">
        <is>
          <t>NORRKÖPING</t>
        </is>
      </c>
      <c r="G5177" t="n">
        <v>1.1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s="2" t="inlineStr"/>
    </row>
    <row r="5178" ht="15" customHeight="1">
      <c r="A5178" t="inlineStr">
        <is>
          <t>A 17835-2023</t>
        </is>
      </c>
      <c r="B5178" s="1" t="n">
        <v>45037</v>
      </c>
      <c r="C5178" s="1" t="n">
        <v>45211</v>
      </c>
      <c r="D5178" t="inlineStr">
        <is>
          <t>ÖSTERGÖTLANDS LÄN</t>
        </is>
      </c>
      <c r="E5178" t="inlineStr">
        <is>
          <t>KINDA</t>
        </is>
      </c>
      <c r="G5178" t="n">
        <v>4.6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s="2" t="inlineStr"/>
    </row>
    <row r="5179" ht="15" customHeight="1">
      <c r="A5179" t="inlineStr">
        <is>
          <t>A 17701-2023</t>
        </is>
      </c>
      <c r="B5179" s="1" t="n">
        <v>45037</v>
      </c>
      <c r="C5179" s="1" t="n">
        <v>45211</v>
      </c>
      <c r="D5179" t="inlineStr">
        <is>
          <t>ÖSTERGÖTLANDS LÄN</t>
        </is>
      </c>
      <c r="E5179" t="inlineStr">
        <is>
          <t>NORRKÖPING</t>
        </is>
      </c>
      <c r="G5179" t="n">
        <v>1.5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s="2" t="inlineStr"/>
    </row>
    <row r="5180" ht="15" customHeight="1">
      <c r="A5180" t="inlineStr">
        <is>
          <t>A 17795-2023</t>
        </is>
      </c>
      <c r="B5180" s="1" t="n">
        <v>45037</v>
      </c>
      <c r="C5180" s="1" t="n">
        <v>45211</v>
      </c>
      <c r="D5180" t="inlineStr">
        <is>
          <t>ÖSTERGÖTLANDS LÄN</t>
        </is>
      </c>
      <c r="E5180" t="inlineStr">
        <is>
          <t>NORRKÖPING</t>
        </is>
      </c>
      <c r="G5180" t="n">
        <v>2.2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s="2" t="inlineStr"/>
    </row>
    <row r="5181" ht="15" customHeight="1">
      <c r="A5181" t="inlineStr">
        <is>
          <t>A 17754-2023</t>
        </is>
      </c>
      <c r="B5181" s="1" t="n">
        <v>45037</v>
      </c>
      <c r="C5181" s="1" t="n">
        <v>45211</v>
      </c>
      <c r="D5181" t="inlineStr">
        <is>
          <t>ÖSTERGÖTLANDS LÄN</t>
        </is>
      </c>
      <c r="E5181" t="inlineStr">
        <is>
          <t>NORRKÖPING</t>
        </is>
      </c>
      <c r="G5181" t="n">
        <v>1.2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s="2" t="inlineStr"/>
    </row>
    <row r="5182" ht="15" customHeight="1">
      <c r="A5182" t="inlineStr">
        <is>
          <t>A 17782-2023</t>
        </is>
      </c>
      <c r="B5182" s="1" t="n">
        <v>45037</v>
      </c>
      <c r="C5182" s="1" t="n">
        <v>45211</v>
      </c>
      <c r="D5182" t="inlineStr">
        <is>
          <t>ÖSTERGÖTLANDS LÄN</t>
        </is>
      </c>
      <c r="E5182" t="inlineStr">
        <is>
          <t>FINSPÅNG</t>
        </is>
      </c>
      <c r="F5182" t="inlineStr">
        <is>
          <t>Naturvårdsverket</t>
        </is>
      </c>
      <c r="G5182" t="n">
        <v>0.6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s="2" t="inlineStr"/>
    </row>
    <row r="5183" ht="15" customHeight="1">
      <c r="A5183" t="inlineStr">
        <is>
          <t>A 17802-2023</t>
        </is>
      </c>
      <c r="B5183" s="1" t="n">
        <v>45037</v>
      </c>
      <c r="C5183" s="1" t="n">
        <v>45211</v>
      </c>
      <c r="D5183" t="inlineStr">
        <is>
          <t>ÖSTERGÖTLANDS LÄN</t>
        </is>
      </c>
      <c r="E5183" t="inlineStr">
        <is>
          <t>NORRKÖPING</t>
        </is>
      </c>
      <c r="G5183" t="n">
        <v>1.4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s="2" t="inlineStr"/>
    </row>
    <row r="5184" ht="15" customHeight="1">
      <c r="A5184" t="inlineStr">
        <is>
          <t>A 17811-2023</t>
        </is>
      </c>
      <c r="B5184" s="1" t="n">
        <v>45037</v>
      </c>
      <c r="C5184" s="1" t="n">
        <v>45211</v>
      </c>
      <c r="D5184" t="inlineStr">
        <is>
          <t>ÖSTERGÖTLANDS LÄN</t>
        </is>
      </c>
      <c r="E5184" t="inlineStr">
        <is>
          <t>FINSPÅNG</t>
        </is>
      </c>
      <c r="F5184" t="inlineStr">
        <is>
          <t>Naturvårdsverket</t>
        </is>
      </c>
      <c r="G5184" t="n">
        <v>1.7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s="2" t="inlineStr"/>
    </row>
    <row r="5185" ht="15" customHeight="1">
      <c r="A5185" t="inlineStr">
        <is>
          <t>A 17702-2023</t>
        </is>
      </c>
      <c r="B5185" s="1" t="n">
        <v>45037</v>
      </c>
      <c r="C5185" s="1" t="n">
        <v>45211</v>
      </c>
      <c r="D5185" t="inlineStr">
        <is>
          <t>ÖSTERGÖTLANDS LÄN</t>
        </is>
      </c>
      <c r="E5185" t="inlineStr">
        <is>
          <t>NORRKÖPING</t>
        </is>
      </c>
      <c r="G5185" t="n">
        <v>0.7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s="2" t="inlineStr"/>
    </row>
    <row r="5186" ht="15" customHeight="1">
      <c r="A5186" t="inlineStr">
        <is>
          <t>A 17713-2023</t>
        </is>
      </c>
      <c r="B5186" s="1" t="n">
        <v>45037</v>
      </c>
      <c r="C5186" s="1" t="n">
        <v>45211</v>
      </c>
      <c r="D5186" t="inlineStr">
        <is>
          <t>ÖSTERGÖTLANDS LÄN</t>
        </is>
      </c>
      <c r="E5186" t="inlineStr">
        <is>
          <t>NORRKÖPING</t>
        </is>
      </c>
      <c r="G5186" t="n">
        <v>1.6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s="2" t="inlineStr"/>
    </row>
    <row r="5187" ht="15" customHeight="1">
      <c r="A5187" t="inlineStr">
        <is>
          <t>A 17937-2023</t>
        </is>
      </c>
      <c r="B5187" s="1" t="n">
        <v>45040</v>
      </c>
      <c r="C5187" s="1" t="n">
        <v>45211</v>
      </c>
      <c r="D5187" t="inlineStr">
        <is>
          <t>ÖSTERGÖTLANDS LÄN</t>
        </is>
      </c>
      <c r="E5187" t="inlineStr">
        <is>
          <t>VALDEMARSVIK</t>
        </is>
      </c>
      <c r="F5187" t="inlineStr">
        <is>
          <t>Holmen skog AB</t>
        </is>
      </c>
      <c r="G5187" t="n">
        <v>1.2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s="2" t="inlineStr"/>
    </row>
    <row r="5188" ht="15" customHeight="1">
      <c r="A5188" t="inlineStr">
        <is>
          <t>A 17952-2023</t>
        </is>
      </c>
      <c r="B5188" s="1" t="n">
        <v>45040</v>
      </c>
      <c r="C5188" s="1" t="n">
        <v>45211</v>
      </c>
      <c r="D5188" t="inlineStr">
        <is>
          <t>ÖSTERGÖTLANDS LÄN</t>
        </is>
      </c>
      <c r="E5188" t="inlineStr">
        <is>
          <t>FINSPÅNG</t>
        </is>
      </c>
      <c r="F5188" t="inlineStr">
        <is>
          <t>Naturvårdsverket</t>
        </is>
      </c>
      <c r="G5188" t="n">
        <v>1.2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s="2" t="inlineStr"/>
    </row>
    <row r="5189" ht="15" customHeight="1">
      <c r="A5189" t="inlineStr">
        <is>
          <t>A 18134-2023</t>
        </is>
      </c>
      <c r="B5189" s="1" t="n">
        <v>45040</v>
      </c>
      <c r="C5189" s="1" t="n">
        <v>45211</v>
      </c>
      <c r="D5189" t="inlineStr">
        <is>
          <t>ÖSTERGÖTLANDS LÄN</t>
        </is>
      </c>
      <c r="E5189" t="inlineStr">
        <is>
          <t>FINSPÅNG</t>
        </is>
      </c>
      <c r="F5189" t="inlineStr">
        <is>
          <t>Holmen skog AB</t>
        </is>
      </c>
      <c r="G5189" t="n">
        <v>1.2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s="2" t="inlineStr"/>
    </row>
    <row r="5190" ht="15" customHeight="1">
      <c r="A5190" t="inlineStr">
        <is>
          <t>A 17960-2023</t>
        </is>
      </c>
      <c r="B5190" s="1" t="n">
        <v>45040</v>
      </c>
      <c r="C5190" s="1" t="n">
        <v>45211</v>
      </c>
      <c r="D5190" t="inlineStr">
        <is>
          <t>ÖSTERGÖTLANDS LÄN</t>
        </is>
      </c>
      <c r="E5190" t="inlineStr">
        <is>
          <t>FINSPÅNG</t>
        </is>
      </c>
      <c r="F5190" t="inlineStr">
        <is>
          <t>Naturvårdsverket</t>
        </is>
      </c>
      <c r="G5190" t="n">
        <v>1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s="2" t="inlineStr"/>
    </row>
    <row r="5191" ht="15" customHeight="1">
      <c r="A5191" t="inlineStr">
        <is>
          <t>A 17994-2023</t>
        </is>
      </c>
      <c r="B5191" s="1" t="n">
        <v>45040</v>
      </c>
      <c r="C5191" s="1" t="n">
        <v>45211</v>
      </c>
      <c r="D5191" t="inlineStr">
        <is>
          <t>ÖSTERGÖTLANDS LÄN</t>
        </is>
      </c>
      <c r="E5191" t="inlineStr">
        <is>
          <t>FINSPÅNG</t>
        </is>
      </c>
      <c r="G5191" t="n">
        <v>1.3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s="2" t="inlineStr"/>
    </row>
    <row r="5192" ht="15" customHeight="1">
      <c r="A5192" t="inlineStr">
        <is>
          <t>A 17992-2023</t>
        </is>
      </c>
      <c r="B5192" s="1" t="n">
        <v>45040</v>
      </c>
      <c r="C5192" s="1" t="n">
        <v>45211</v>
      </c>
      <c r="D5192" t="inlineStr">
        <is>
          <t>ÖSTERGÖTLANDS LÄN</t>
        </is>
      </c>
      <c r="E5192" t="inlineStr">
        <is>
          <t>FINSPÅNG</t>
        </is>
      </c>
      <c r="G5192" t="n">
        <v>0.5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s="2" t="inlineStr"/>
    </row>
    <row r="5193" ht="15" customHeight="1">
      <c r="A5193" t="inlineStr">
        <is>
          <t>A 18018-2023</t>
        </is>
      </c>
      <c r="B5193" s="1" t="n">
        <v>45040</v>
      </c>
      <c r="C5193" s="1" t="n">
        <v>45211</v>
      </c>
      <c r="D5193" t="inlineStr">
        <is>
          <t>ÖSTERGÖTLANDS LÄN</t>
        </is>
      </c>
      <c r="E5193" t="inlineStr">
        <is>
          <t>NORRKÖPING</t>
        </is>
      </c>
      <c r="G5193" t="n">
        <v>0.7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s="2" t="inlineStr"/>
    </row>
    <row r="5194" ht="15" customHeight="1">
      <c r="A5194" t="inlineStr">
        <is>
          <t>A 18225-2023</t>
        </is>
      </c>
      <c r="B5194" s="1" t="n">
        <v>45041</v>
      </c>
      <c r="C5194" s="1" t="n">
        <v>45211</v>
      </c>
      <c r="D5194" t="inlineStr">
        <is>
          <t>ÖSTERGÖTLANDS LÄN</t>
        </is>
      </c>
      <c r="E5194" t="inlineStr">
        <is>
          <t>VALDEMARSVIK</t>
        </is>
      </c>
      <c r="F5194" t="inlineStr">
        <is>
          <t>Holmen skog AB</t>
        </is>
      </c>
      <c r="G5194" t="n">
        <v>0.7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s="2" t="inlineStr"/>
    </row>
    <row r="5195" ht="15" customHeight="1">
      <c r="A5195" t="inlineStr">
        <is>
          <t>A 18234-2023</t>
        </is>
      </c>
      <c r="B5195" s="1" t="n">
        <v>45041</v>
      </c>
      <c r="C5195" s="1" t="n">
        <v>45211</v>
      </c>
      <c r="D5195" t="inlineStr">
        <is>
          <t>ÖSTERGÖTLANDS LÄN</t>
        </is>
      </c>
      <c r="E5195" t="inlineStr">
        <is>
          <t>SÖDERKÖPING</t>
        </is>
      </c>
      <c r="G5195" t="n">
        <v>0.9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s="2" t="inlineStr"/>
    </row>
    <row r="5196" ht="15" customHeight="1">
      <c r="A5196" t="inlineStr">
        <is>
          <t>A 18295-2023</t>
        </is>
      </c>
      <c r="B5196" s="1" t="n">
        <v>45041</v>
      </c>
      <c r="C5196" s="1" t="n">
        <v>45211</v>
      </c>
      <c r="D5196" t="inlineStr">
        <is>
          <t>ÖSTERGÖTLANDS LÄN</t>
        </is>
      </c>
      <c r="E5196" t="inlineStr">
        <is>
          <t>FINSPÅNG</t>
        </is>
      </c>
      <c r="G5196" t="n">
        <v>0.6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s="2" t="inlineStr"/>
    </row>
    <row r="5197" ht="15" customHeight="1">
      <c r="A5197" t="inlineStr">
        <is>
          <t>A 18380-2023</t>
        </is>
      </c>
      <c r="B5197" s="1" t="n">
        <v>45041</v>
      </c>
      <c r="C5197" s="1" t="n">
        <v>45211</v>
      </c>
      <c r="D5197" t="inlineStr">
        <is>
          <t>ÖSTERGÖTLANDS LÄN</t>
        </is>
      </c>
      <c r="E5197" t="inlineStr">
        <is>
          <t>VALDEMARSVIK</t>
        </is>
      </c>
      <c r="F5197" t="inlineStr">
        <is>
          <t>Holmen skog AB</t>
        </is>
      </c>
      <c r="G5197" t="n">
        <v>2.5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s="2" t="inlineStr"/>
    </row>
    <row r="5198" ht="15" customHeight="1">
      <c r="A5198" t="inlineStr">
        <is>
          <t>A 18672-2023</t>
        </is>
      </c>
      <c r="B5198" s="1" t="n">
        <v>45041</v>
      </c>
      <c r="C5198" s="1" t="n">
        <v>45211</v>
      </c>
      <c r="D5198" t="inlineStr">
        <is>
          <t>ÖSTERGÖTLANDS LÄN</t>
        </is>
      </c>
      <c r="E5198" t="inlineStr">
        <is>
          <t>MOTALA</t>
        </is>
      </c>
      <c r="G5198" t="n">
        <v>2.3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s="2" t="inlineStr"/>
    </row>
    <row r="5199" ht="15" customHeight="1">
      <c r="A5199" t="inlineStr">
        <is>
          <t>A 18306-2023</t>
        </is>
      </c>
      <c r="B5199" s="1" t="n">
        <v>45041</v>
      </c>
      <c r="C5199" s="1" t="n">
        <v>45211</v>
      </c>
      <c r="D5199" t="inlineStr">
        <is>
          <t>ÖSTERGÖTLANDS LÄN</t>
        </is>
      </c>
      <c r="E5199" t="inlineStr">
        <is>
          <t>FINSPÅNG</t>
        </is>
      </c>
      <c r="F5199" t="inlineStr">
        <is>
          <t>Naturvårdsverket</t>
        </is>
      </c>
      <c r="G5199" t="n">
        <v>0.8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s="2" t="inlineStr"/>
    </row>
    <row r="5200" ht="15" customHeight="1">
      <c r="A5200" t="inlineStr">
        <is>
          <t>A 18408-2023</t>
        </is>
      </c>
      <c r="B5200" s="1" t="n">
        <v>45042</v>
      </c>
      <c r="C5200" s="1" t="n">
        <v>45211</v>
      </c>
      <c r="D5200" t="inlineStr">
        <is>
          <t>ÖSTERGÖTLANDS LÄN</t>
        </is>
      </c>
      <c r="E5200" t="inlineStr">
        <is>
          <t>LINKÖPING</t>
        </is>
      </c>
      <c r="G5200" t="n">
        <v>2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s="2" t="inlineStr"/>
    </row>
    <row r="5201" ht="15" customHeight="1">
      <c r="A5201" t="inlineStr">
        <is>
          <t>A 18469-2023</t>
        </is>
      </c>
      <c r="B5201" s="1" t="n">
        <v>45042</v>
      </c>
      <c r="C5201" s="1" t="n">
        <v>45211</v>
      </c>
      <c r="D5201" t="inlineStr">
        <is>
          <t>ÖSTERGÖTLANDS LÄN</t>
        </is>
      </c>
      <c r="E5201" t="inlineStr">
        <is>
          <t>KINDA</t>
        </is>
      </c>
      <c r="G5201" t="n">
        <v>2.7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s="2" t="inlineStr"/>
    </row>
    <row r="5202" ht="15" customHeight="1">
      <c r="A5202" t="inlineStr">
        <is>
          <t>A 18500-2023</t>
        </is>
      </c>
      <c r="B5202" s="1" t="n">
        <v>45042</v>
      </c>
      <c r="C5202" s="1" t="n">
        <v>45211</v>
      </c>
      <c r="D5202" t="inlineStr">
        <is>
          <t>ÖSTERGÖTLANDS LÄN</t>
        </is>
      </c>
      <c r="E5202" t="inlineStr">
        <is>
          <t>NORRKÖPING</t>
        </is>
      </c>
      <c r="F5202" t="inlineStr">
        <is>
          <t>Holmen skog AB</t>
        </is>
      </c>
      <c r="G5202" t="n">
        <v>2.1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s="2" t="inlineStr"/>
    </row>
    <row r="5203" ht="15" customHeight="1">
      <c r="A5203" t="inlineStr">
        <is>
          <t>A 18514-2023</t>
        </is>
      </c>
      <c r="B5203" s="1" t="n">
        <v>45042</v>
      </c>
      <c r="C5203" s="1" t="n">
        <v>45211</v>
      </c>
      <c r="D5203" t="inlineStr">
        <is>
          <t>ÖSTERGÖTLANDS LÄN</t>
        </is>
      </c>
      <c r="E5203" t="inlineStr">
        <is>
          <t>NORRKÖPING</t>
        </is>
      </c>
      <c r="G5203" t="n">
        <v>0.8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s="2" t="inlineStr"/>
    </row>
    <row r="5204" ht="15" customHeight="1">
      <c r="A5204" t="inlineStr">
        <is>
          <t>A 18481-2023</t>
        </is>
      </c>
      <c r="B5204" s="1" t="n">
        <v>45042</v>
      </c>
      <c r="C5204" s="1" t="n">
        <v>45211</v>
      </c>
      <c r="D5204" t="inlineStr">
        <is>
          <t>ÖSTERGÖTLANDS LÄN</t>
        </is>
      </c>
      <c r="E5204" t="inlineStr">
        <is>
          <t>NORRKÖPING</t>
        </is>
      </c>
      <c r="F5204" t="inlineStr">
        <is>
          <t>Naturvårdsverket</t>
        </is>
      </c>
      <c r="G5204" t="n">
        <v>1.5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s="2" t="inlineStr"/>
    </row>
    <row r="5205" ht="15" customHeight="1">
      <c r="A5205" t="inlineStr">
        <is>
          <t>A 18485-2023</t>
        </is>
      </c>
      <c r="B5205" s="1" t="n">
        <v>45042</v>
      </c>
      <c r="C5205" s="1" t="n">
        <v>45211</v>
      </c>
      <c r="D5205" t="inlineStr">
        <is>
          <t>ÖSTERGÖTLANDS LÄN</t>
        </is>
      </c>
      <c r="E5205" t="inlineStr">
        <is>
          <t>ÅTVIDABERG</t>
        </is>
      </c>
      <c r="G5205" t="n">
        <v>2.5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s="2" t="inlineStr"/>
    </row>
    <row r="5206" ht="15" customHeight="1">
      <c r="A5206" t="inlineStr">
        <is>
          <t>A 18495-2023</t>
        </is>
      </c>
      <c r="B5206" s="1" t="n">
        <v>45042</v>
      </c>
      <c r="C5206" s="1" t="n">
        <v>45211</v>
      </c>
      <c r="D5206" t="inlineStr">
        <is>
          <t>ÖSTERGÖTLANDS LÄN</t>
        </is>
      </c>
      <c r="E5206" t="inlineStr">
        <is>
          <t>ÅTVIDABERG</t>
        </is>
      </c>
      <c r="G5206" t="n">
        <v>0.7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s="2" t="inlineStr"/>
    </row>
    <row r="5207" ht="15" customHeight="1">
      <c r="A5207" t="inlineStr">
        <is>
          <t>A 18518-2023</t>
        </is>
      </c>
      <c r="B5207" s="1" t="n">
        <v>45042</v>
      </c>
      <c r="C5207" s="1" t="n">
        <v>45211</v>
      </c>
      <c r="D5207" t="inlineStr">
        <is>
          <t>ÖSTERGÖTLANDS LÄN</t>
        </is>
      </c>
      <c r="E5207" t="inlineStr">
        <is>
          <t>ÅTVIDABERG</t>
        </is>
      </c>
      <c r="G5207" t="n">
        <v>4.6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s="2" t="inlineStr"/>
    </row>
    <row r="5208" ht="15" customHeight="1">
      <c r="A5208" t="inlineStr">
        <is>
          <t>A 18445-2023</t>
        </is>
      </c>
      <c r="B5208" s="1" t="n">
        <v>45042</v>
      </c>
      <c r="C5208" s="1" t="n">
        <v>45211</v>
      </c>
      <c r="D5208" t="inlineStr">
        <is>
          <t>ÖSTERGÖTLANDS LÄN</t>
        </is>
      </c>
      <c r="E5208" t="inlineStr">
        <is>
          <t>FINSPÅNG</t>
        </is>
      </c>
      <c r="F5208" t="inlineStr">
        <is>
          <t>Holmen skog AB</t>
        </is>
      </c>
      <c r="G5208" t="n">
        <v>0.7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s="2" t="inlineStr"/>
    </row>
    <row r="5209" ht="15" customHeight="1">
      <c r="A5209" t="inlineStr">
        <is>
          <t>A 18492-2023</t>
        </is>
      </c>
      <c r="B5209" s="1" t="n">
        <v>45042</v>
      </c>
      <c r="C5209" s="1" t="n">
        <v>45211</v>
      </c>
      <c r="D5209" t="inlineStr">
        <is>
          <t>ÖSTERGÖTLANDS LÄN</t>
        </is>
      </c>
      <c r="E5209" t="inlineStr">
        <is>
          <t>ÅTVIDABERG</t>
        </is>
      </c>
      <c r="G5209" t="n">
        <v>3.2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s="2" t="inlineStr"/>
    </row>
    <row r="5210" ht="15" customHeight="1">
      <c r="A5210" t="inlineStr">
        <is>
          <t>A 18667-2023</t>
        </is>
      </c>
      <c r="B5210" s="1" t="n">
        <v>45043</v>
      </c>
      <c r="C5210" s="1" t="n">
        <v>45211</v>
      </c>
      <c r="D5210" t="inlineStr">
        <is>
          <t>ÖSTERGÖTLANDS LÄN</t>
        </is>
      </c>
      <c r="E5210" t="inlineStr">
        <is>
          <t>NORRKÖPING</t>
        </is>
      </c>
      <c r="G5210" t="n">
        <v>2.1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s="2" t="inlineStr"/>
    </row>
    <row r="5211" ht="15" customHeight="1">
      <c r="A5211" t="inlineStr">
        <is>
          <t>A 18931-2023</t>
        </is>
      </c>
      <c r="B5211" s="1" t="n">
        <v>45043</v>
      </c>
      <c r="C5211" s="1" t="n">
        <v>45211</v>
      </c>
      <c r="D5211" t="inlineStr">
        <is>
          <t>ÖSTERGÖTLANDS LÄN</t>
        </is>
      </c>
      <c r="E5211" t="inlineStr">
        <is>
          <t>LINKÖPING</t>
        </is>
      </c>
      <c r="F5211" t="inlineStr">
        <is>
          <t>Övriga statliga verk och myndigheter</t>
        </is>
      </c>
      <c r="G5211" t="n">
        <v>3.4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s="2" t="inlineStr"/>
    </row>
    <row r="5212" ht="15" customHeight="1">
      <c r="A5212" t="inlineStr">
        <is>
          <t>A 18661-2023</t>
        </is>
      </c>
      <c r="B5212" s="1" t="n">
        <v>45043</v>
      </c>
      <c r="C5212" s="1" t="n">
        <v>45211</v>
      </c>
      <c r="D5212" t="inlineStr">
        <is>
          <t>ÖSTERGÖTLANDS LÄN</t>
        </is>
      </c>
      <c r="E5212" t="inlineStr">
        <is>
          <t>NORRKÖPING</t>
        </is>
      </c>
      <c r="G5212" t="n">
        <v>0.7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s="2" t="inlineStr"/>
    </row>
    <row r="5213" ht="15" customHeight="1">
      <c r="A5213" t="inlineStr">
        <is>
          <t>A 18634-2023</t>
        </is>
      </c>
      <c r="B5213" s="1" t="n">
        <v>45043</v>
      </c>
      <c r="C5213" s="1" t="n">
        <v>45211</v>
      </c>
      <c r="D5213" t="inlineStr">
        <is>
          <t>ÖSTERGÖTLANDS LÄN</t>
        </is>
      </c>
      <c r="E5213" t="inlineStr">
        <is>
          <t>NORRKÖPING</t>
        </is>
      </c>
      <c r="G5213" t="n">
        <v>2.3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s="2" t="inlineStr"/>
    </row>
    <row r="5214" ht="15" customHeight="1">
      <c r="A5214" t="inlineStr">
        <is>
          <t>A 18664-2023</t>
        </is>
      </c>
      <c r="B5214" s="1" t="n">
        <v>45043</v>
      </c>
      <c r="C5214" s="1" t="n">
        <v>45211</v>
      </c>
      <c r="D5214" t="inlineStr">
        <is>
          <t>ÖSTERGÖTLANDS LÄN</t>
        </is>
      </c>
      <c r="E5214" t="inlineStr">
        <is>
          <t>NORRKÖPING</t>
        </is>
      </c>
      <c r="G5214" t="n">
        <v>1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s="2" t="inlineStr"/>
    </row>
    <row r="5215" ht="15" customHeight="1">
      <c r="A5215" t="inlineStr">
        <is>
          <t>A 18686-2023</t>
        </is>
      </c>
      <c r="B5215" s="1" t="n">
        <v>45043</v>
      </c>
      <c r="C5215" s="1" t="n">
        <v>45211</v>
      </c>
      <c r="D5215" t="inlineStr">
        <is>
          <t>ÖSTERGÖTLANDS LÄN</t>
        </is>
      </c>
      <c r="E5215" t="inlineStr">
        <is>
          <t>NORRKÖPING</t>
        </is>
      </c>
      <c r="F5215" t="inlineStr">
        <is>
          <t>Holmen skog AB</t>
        </is>
      </c>
      <c r="G5215" t="n">
        <v>2.7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s="2" t="inlineStr"/>
    </row>
    <row r="5216" ht="15" customHeight="1">
      <c r="A5216" t="inlineStr">
        <is>
          <t>A 18746-2023</t>
        </is>
      </c>
      <c r="B5216" s="1" t="n">
        <v>45043</v>
      </c>
      <c r="C5216" s="1" t="n">
        <v>45211</v>
      </c>
      <c r="D5216" t="inlineStr">
        <is>
          <t>ÖSTERGÖTLANDS LÄN</t>
        </is>
      </c>
      <c r="E5216" t="inlineStr">
        <is>
          <t>BOXHOLM</t>
        </is>
      </c>
      <c r="G5216" t="n">
        <v>0.9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s="2" t="inlineStr"/>
    </row>
    <row r="5217" ht="15" customHeight="1">
      <c r="A5217" t="inlineStr">
        <is>
          <t>A 18915-2023</t>
        </is>
      </c>
      <c r="B5217" s="1" t="n">
        <v>45043</v>
      </c>
      <c r="C5217" s="1" t="n">
        <v>45211</v>
      </c>
      <c r="D5217" t="inlineStr">
        <is>
          <t>ÖSTERGÖTLANDS LÄN</t>
        </is>
      </c>
      <c r="E5217" t="inlineStr">
        <is>
          <t>MOTALA</t>
        </is>
      </c>
      <c r="F5217" t="inlineStr">
        <is>
          <t>Övriga statliga verk och myndigheter</t>
        </is>
      </c>
      <c r="G5217" t="n">
        <v>4.1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s="2" t="inlineStr"/>
    </row>
    <row r="5218" ht="15" customHeight="1">
      <c r="A5218" t="inlineStr">
        <is>
          <t>A 18923-2023</t>
        </is>
      </c>
      <c r="B5218" s="1" t="n">
        <v>45043</v>
      </c>
      <c r="C5218" s="1" t="n">
        <v>45211</v>
      </c>
      <c r="D5218" t="inlineStr">
        <is>
          <t>ÖSTERGÖTLANDS LÄN</t>
        </is>
      </c>
      <c r="E5218" t="inlineStr">
        <is>
          <t>MOTALA</t>
        </is>
      </c>
      <c r="F5218" t="inlineStr">
        <is>
          <t>Övriga statliga verk och myndigheter</t>
        </is>
      </c>
      <c r="G5218" t="n">
        <v>1.9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s="2" t="inlineStr"/>
    </row>
    <row r="5219" ht="15" customHeight="1">
      <c r="A5219" t="inlineStr">
        <is>
          <t>A 18658-2023</t>
        </is>
      </c>
      <c r="B5219" s="1" t="n">
        <v>45043</v>
      </c>
      <c r="C5219" s="1" t="n">
        <v>45211</v>
      </c>
      <c r="D5219" t="inlineStr">
        <is>
          <t>ÖSTERGÖTLANDS LÄN</t>
        </is>
      </c>
      <c r="E5219" t="inlineStr">
        <is>
          <t>NORRKÖPING</t>
        </is>
      </c>
      <c r="G5219" t="n">
        <v>1.4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s="2" t="inlineStr"/>
    </row>
    <row r="5220" ht="15" customHeight="1">
      <c r="A5220" t="inlineStr">
        <is>
          <t>A 18705-2023</t>
        </is>
      </c>
      <c r="B5220" s="1" t="n">
        <v>45043</v>
      </c>
      <c r="C5220" s="1" t="n">
        <v>45211</v>
      </c>
      <c r="D5220" t="inlineStr">
        <is>
          <t>ÖSTERGÖTLANDS LÄN</t>
        </is>
      </c>
      <c r="E5220" t="inlineStr">
        <is>
          <t>NORRKÖPING</t>
        </is>
      </c>
      <c r="F5220" t="inlineStr">
        <is>
          <t>Holmen skog AB</t>
        </is>
      </c>
      <c r="G5220" t="n">
        <v>8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s="2" t="inlineStr"/>
    </row>
    <row r="5221" ht="15" customHeight="1">
      <c r="A5221" t="inlineStr">
        <is>
          <t>A 18758-2023</t>
        </is>
      </c>
      <c r="B5221" s="1" t="n">
        <v>45043</v>
      </c>
      <c r="C5221" s="1" t="n">
        <v>45211</v>
      </c>
      <c r="D5221" t="inlineStr">
        <is>
          <t>ÖSTERGÖTLANDS LÄN</t>
        </is>
      </c>
      <c r="E5221" t="inlineStr">
        <is>
          <t>VALDEMARSVIK</t>
        </is>
      </c>
      <c r="G5221" t="n">
        <v>2.9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s="2" t="inlineStr"/>
    </row>
    <row r="5222" ht="15" customHeight="1">
      <c r="A5222" t="inlineStr">
        <is>
          <t>A 18920-2023</t>
        </is>
      </c>
      <c r="B5222" s="1" t="n">
        <v>45043</v>
      </c>
      <c r="C5222" s="1" t="n">
        <v>45211</v>
      </c>
      <c r="D5222" t="inlineStr">
        <is>
          <t>ÖSTERGÖTLANDS LÄN</t>
        </is>
      </c>
      <c r="E5222" t="inlineStr">
        <is>
          <t>LINKÖPING</t>
        </is>
      </c>
      <c r="F5222" t="inlineStr">
        <is>
          <t>Övriga statliga verk och myndigheter</t>
        </is>
      </c>
      <c r="G5222" t="n">
        <v>0.7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s="2" t="inlineStr"/>
    </row>
    <row r="5223" ht="15" customHeight="1">
      <c r="A5223" t="inlineStr">
        <is>
          <t>A 18888-2023</t>
        </is>
      </c>
      <c r="B5223" s="1" t="n">
        <v>45044</v>
      </c>
      <c r="C5223" s="1" t="n">
        <v>45211</v>
      </c>
      <c r="D5223" t="inlineStr">
        <is>
          <t>ÖSTERGÖTLANDS LÄN</t>
        </is>
      </c>
      <c r="E5223" t="inlineStr">
        <is>
          <t>LINKÖPING</t>
        </is>
      </c>
      <c r="G5223" t="n">
        <v>2.4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s="2" t="inlineStr"/>
    </row>
    <row r="5224" ht="15" customHeight="1">
      <c r="A5224" t="inlineStr">
        <is>
          <t>A 18949-2023</t>
        </is>
      </c>
      <c r="B5224" s="1" t="n">
        <v>45044</v>
      </c>
      <c r="C5224" s="1" t="n">
        <v>45211</v>
      </c>
      <c r="D5224" t="inlineStr">
        <is>
          <t>ÖSTERGÖTLANDS LÄN</t>
        </is>
      </c>
      <c r="E5224" t="inlineStr">
        <is>
          <t>NORRKÖPING</t>
        </is>
      </c>
      <c r="G5224" t="n">
        <v>0.8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s="2" t="inlineStr"/>
    </row>
    <row r="5225" ht="15" customHeight="1">
      <c r="A5225" t="inlineStr">
        <is>
          <t>A 19169-2023</t>
        </is>
      </c>
      <c r="B5225" s="1" t="n">
        <v>45044</v>
      </c>
      <c r="C5225" s="1" t="n">
        <v>45211</v>
      </c>
      <c r="D5225" t="inlineStr">
        <is>
          <t>ÖSTERGÖTLANDS LÄN</t>
        </is>
      </c>
      <c r="E5225" t="inlineStr">
        <is>
          <t>LINKÖPING</t>
        </is>
      </c>
      <c r="G5225" t="n">
        <v>2.7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s="2" t="inlineStr"/>
    </row>
    <row r="5226" ht="15" customHeight="1">
      <c r="A5226" t="inlineStr">
        <is>
          <t>A 19030-2023</t>
        </is>
      </c>
      <c r="B5226" s="1" t="n">
        <v>45047</v>
      </c>
      <c r="C5226" s="1" t="n">
        <v>45211</v>
      </c>
      <c r="D5226" t="inlineStr">
        <is>
          <t>ÖSTERGÖTLANDS LÄN</t>
        </is>
      </c>
      <c r="E5226" t="inlineStr">
        <is>
          <t>ÅTVIDABERG</t>
        </is>
      </c>
      <c r="G5226" t="n">
        <v>2.1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s="2" t="inlineStr"/>
    </row>
    <row r="5227" ht="15" customHeight="1">
      <c r="A5227" t="inlineStr">
        <is>
          <t>A 19036-2023</t>
        </is>
      </c>
      <c r="B5227" s="1" t="n">
        <v>45047</v>
      </c>
      <c r="C5227" s="1" t="n">
        <v>45211</v>
      </c>
      <c r="D5227" t="inlineStr">
        <is>
          <t>ÖSTERGÖTLANDS LÄN</t>
        </is>
      </c>
      <c r="E5227" t="inlineStr">
        <is>
          <t>ÅTVIDABERG</t>
        </is>
      </c>
      <c r="G5227" t="n">
        <v>2.1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s="2" t="inlineStr"/>
    </row>
    <row r="5228" ht="15" customHeight="1">
      <c r="A5228" t="inlineStr">
        <is>
          <t>A 19113-2023</t>
        </is>
      </c>
      <c r="B5228" s="1" t="n">
        <v>45048</v>
      </c>
      <c r="C5228" s="1" t="n">
        <v>45211</v>
      </c>
      <c r="D5228" t="inlineStr">
        <is>
          <t>ÖSTERGÖTLANDS LÄN</t>
        </is>
      </c>
      <c r="E5228" t="inlineStr">
        <is>
          <t>NORRKÖPING</t>
        </is>
      </c>
      <c r="F5228" t="inlineStr">
        <is>
          <t>Holmen skog AB</t>
        </is>
      </c>
      <c r="G5228" t="n">
        <v>2.6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s="2" t="inlineStr"/>
    </row>
    <row r="5229" ht="15" customHeight="1">
      <c r="A5229" t="inlineStr">
        <is>
          <t>A 19152-2023</t>
        </is>
      </c>
      <c r="B5229" s="1" t="n">
        <v>45048</v>
      </c>
      <c r="C5229" s="1" t="n">
        <v>45211</v>
      </c>
      <c r="D5229" t="inlineStr">
        <is>
          <t>ÖSTERGÖTLANDS LÄN</t>
        </is>
      </c>
      <c r="E5229" t="inlineStr">
        <is>
          <t>ÖDESHÖG</t>
        </is>
      </c>
      <c r="G5229" t="n">
        <v>4.7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s="2" t="inlineStr"/>
    </row>
    <row r="5230" ht="15" customHeight="1">
      <c r="A5230" t="inlineStr">
        <is>
          <t>A 19324-2023</t>
        </is>
      </c>
      <c r="B5230" s="1" t="n">
        <v>45048</v>
      </c>
      <c r="C5230" s="1" t="n">
        <v>45211</v>
      </c>
      <c r="D5230" t="inlineStr">
        <is>
          <t>ÖSTERGÖTLANDS LÄN</t>
        </is>
      </c>
      <c r="E5230" t="inlineStr">
        <is>
          <t>LINKÖPING</t>
        </is>
      </c>
      <c r="F5230" t="inlineStr">
        <is>
          <t>Övriga statliga verk och myndigheter</t>
        </is>
      </c>
      <c r="G5230" t="n">
        <v>2.3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s="2" t="inlineStr"/>
    </row>
    <row r="5231" ht="15" customHeight="1">
      <c r="A5231" t="inlineStr">
        <is>
          <t>A 19114-2023</t>
        </is>
      </c>
      <c r="B5231" s="1" t="n">
        <v>45048</v>
      </c>
      <c r="C5231" s="1" t="n">
        <v>45211</v>
      </c>
      <c r="D5231" t="inlineStr">
        <is>
          <t>ÖSTERGÖTLANDS LÄN</t>
        </is>
      </c>
      <c r="E5231" t="inlineStr">
        <is>
          <t>NORRKÖPING</t>
        </is>
      </c>
      <c r="G5231" t="n">
        <v>2.4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s="2" t="inlineStr"/>
    </row>
    <row r="5232" ht="15" customHeight="1">
      <c r="A5232" t="inlineStr">
        <is>
          <t>A 19296-2023</t>
        </is>
      </c>
      <c r="B5232" s="1" t="n">
        <v>45048</v>
      </c>
      <c r="C5232" s="1" t="n">
        <v>45211</v>
      </c>
      <c r="D5232" t="inlineStr">
        <is>
          <t>ÖSTERGÖTLANDS LÄN</t>
        </is>
      </c>
      <c r="E5232" t="inlineStr">
        <is>
          <t>KINDA</t>
        </is>
      </c>
      <c r="G5232" t="n">
        <v>1.5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s="2" t="inlineStr"/>
    </row>
    <row r="5233" ht="15" customHeight="1">
      <c r="A5233" t="inlineStr">
        <is>
          <t>A 19371-2023</t>
        </is>
      </c>
      <c r="B5233" s="1" t="n">
        <v>45048</v>
      </c>
      <c r="C5233" s="1" t="n">
        <v>45211</v>
      </c>
      <c r="D5233" t="inlineStr">
        <is>
          <t>ÖSTERGÖTLANDS LÄN</t>
        </is>
      </c>
      <c r="E5233" t="inlineStr">
        <is>
          <t>LINKÖPING</t>
        </is>
      </c>
      <c r="F5233" t="inlineStr">
        <is>
          <t>Övriga statliga verk och myndigheter</t>
        </is>
      </c>
      <c r="G5233" t="n">
        <v>3.8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s="2" t="inlineStr"/>
    </row>
    <row r="5234" ht="15" customHeight="1">
      <c r="A5234" t="inlineStr">
        <is>
          <t>A 19208-2023</t>
        </is>
      </c>
      <c r="B5234" s="1" t="n">
        <v>45048</v>
      </c>
      <c r="C5234" s="1" t="n">
        <v>45211</v>
      </c>
      <c r="D5234" t="inlineStr">
        <is>
          <t>ÖSTERGÖTLANDS LÄN</t>
        </is>
      </c>
      <c r="E5234" t="inlineStr">
        <is>
          <t>YDRE</t>
        </is>
      </c>
      <c r="G5234" t="n">
        <v>1.3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s="2" t="inlineStr"/>
    </row>
    <row r="5235" ht="15" customHeight="1">
      <c r="A5235" t="inlineStr">
        <is>
          <t>A 19085-2023</t>
        </is>
      </c>
      <c r="B5235" s="1" t="n">
        <v>45048</v>
      </c>
      <c r="C5235" s="1" t="n">
        <v>45211</v>
      </c>
      <c r="D5235" t="inlineStr">
        <is>
          <t>ÖSTERGÖTLANDS LÄN</t>
        </is>
      </c>
      <c r="E5235" t="inlineStr">
        <is>
          <t>ÖDESHÖG</t>
        </is>
      </c>
      <c r="G5235" t="n">
        <v>3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s="2" t="inlineStr"/>
    </row>
    <row r="5236" ht="15" customHeight="1">
      <c r="A5236" t="inlineStr">
        <is>
          <t>A 19209-2023</t>
        </is>
      </c>
      <c r="B5236" s="1" t="n">
        <v>45048</v>
      </c>
      <c r="C5236" s="1" t="n">
        <v>45211</v>
      </c>
      <c r="D5236" t="inlineStr">
        <is>
          <t>ÖSTERGÖTLANDS LÄN</t>
        </is>
      </c>
      <c r="E5236" t="inlineStr">
        <is>
          <t>YDRE</t>
        </is>
      </c>
      <c r="G5236" t="n">
        <v>0.6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s="2" t="inlineStr"/>
    </row>
    <row r="5237" ht="15" customHeight="1">
      <c r="A5237" t="inlineStr">
        <is>
          <t>A 19262-2023</t>
        </is>
      </c>
      <c r="B5237" s="1" t="n">
        <v>45049</v>
      </c>
      <c r="C5237" s="1" t="n">
        <v>45211</v>
      </c>
      <c r="D5237" t="inlineStr">
        <is>
          <t>ÖSTERGÖTLANDS LÄN</t>
        </is>
      </c>
      <c r="E5237" t="inlineStr">
        <is>
          <t>NORRKÖPING</t>
        </is>
      </c>
      <c r="G5237" t="n">
        <v>4.1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s="2" t="inlineStr"/>
    </row>
    <row r="5238" ht="15" customHeight="1">
      <c r="A5238" t="inlineStr">
        <is>
          <t>A 19334-2023</t>
        </is>
      </c>
      <c r="B5238" s="1" t="n">
        <v>45049</v>
      </c>
      <c r="C5238" s="1" t="n">
        <v>45211</v>
      </c>
      <c r="D5238" t="inlineStr">
        <is>
          <t>ÖSTERGÖTLANDS LÄN</t>
        </is>
      </c>
      <c r="E5238" t="inlineStr">
        <is>
          <t>NORRKÖPING</t>
        </is>
      </c>
      <c r="G5238" t="n">
        <v>0.8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s="2" t="inlineStr"/>
    </row>
    <row r="5239" ht="15" customHeight="1">
      <c r="A5239" t="inlineStr">
        <is>
          <t>A 19545-2023</t>
        </is>
      </c>
      <c r="B5239" s="1" t="n">
        <v>45049</v>
      </c>
      <c r="C5239" s="1" t="n">
        <v>45211</v>
      </c>
      <c r="D5239" t="inlineStr">
        <is>
          <t>ÖSTERGÖTLANDS LÄN</t>
        </is>
      </c>
      <c r="E5239" t="inlineStr">
        <is>
          <t>KINDA</t>
        </is>
      </c>
      <c r="G5239" t="n">
        <v>2.6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s="2" t="inlineStr"/>
    </row>
    <row r="5240" ht="15" customHeight="1">
      <c r="A5240" t="inlineStr">
        <is>
          <t>A 19362-2023</t>
        </is>
      </c>
      <c r="B5240" s="1" t="n">
        <v>45049</v>
      </c>
      <c r="C5240" s="1" t="n">
        <v>45211</v>
      </c>
      <c r="D5240" t="inlineStr">
        <is>
          <t>ÖSTERGÖTLANDS LÄN</t>
        </is>
      </c>
      <c r="E5240" t="inlineStr">
        <is>
          <t>LINKÖPING</t>
        </is>
      </c>
      <c r="G5240" t="n">
        <v>0.1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s="2" t="inlineStr"/>
    </row>
    <row r="5241" ht="15" customHeight="1">
      <c r="A5241" t="inlineStr">
        <is>
          <t>A 19381-2023</t>
        </is>
      </c>
      <c r="B5241" s="1" t="n">
        <v>45049</v>
      </c>
      <c r="C5241" s="1" t="n">
        <v>45211</v>
      </c>
      <c r="D5241" t="inlineStr">
        <is>
          <t>ÖSTERGÖTLANDS LÄN</t>
        </is>
      </c>
      <c r="E5241" t="inlineStr">
        <is>
          <t>ÅTVIDABERG</t>
        </is>
      </c>
      <c r="G5241" t="n">
        <v>2.1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s="2" t="inlineStr"/>
    </row>
    <row r="5242" ht="15" customHeight="1">
      <c r="A5242" t="inlineStr">
        <is>
          <t>A 19335-2023</t>
        </is>
      </c>
      <c r="B5242" s="1" t="n">
        <v>45049</v>
      </c>
      <c r="C5242" s="1" t="n">
        <v>45211</v>
      </c>
      <c r="D5242" t="inlineStr">
        <is>
          <t>ÖSTERGÖTLANDS LÄN</t>
        </is>
      </c>
      <c r="E5242" t="inlineStr">
        <is>
          <t>NORRKÖPING</t>
        </is>
      </c>
      <c r="G5242" t="n">
        <v>1.3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s="2" t="inlineStr"/>
    </row>
    <row r="5243" ht="15" customHeight="1">
      <c r="A5243" t="inlineStr">
        <is>
          <t>A 19350-2023</t>
        </is>
      </c>
      <c r="B5243" s="1" t="n">
        <v>45049</v>
      </c>
      <c r="C5243" s="1" t="n">
        <v>45211</v>
      </c>
      <c r="D5243" t="inlineStr">
        <is>
          <t>ÖSTERGÖTLANDS LÄN</t>
        </is>
      </c>
      <c r="E5243" t="inlineStr">
        <is>
          <t>ÖDESHÖG</t>
        </is>
      </c>
      <c r="G5243" t="n">
        <v>1.9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s="2" t="inlineStr"/>
    </row>
    <row r="5244" ht="15" customHeight="1">
      <c r="A5244" t="inlineStr">
        <is>
          <t>A 19733-2023</t>
        </is>
      </c>
      <c r="B5244" s="1" t="n">
        <v>45051</v>
      </c>
      <c r="C5244" s="1" t="n">
        <v>45211</v>
      </c>
      <c r="D5244" t="inlineStr">
        <is>
          <t>ÖSTERGÖTLANDS LÄN</t>
        </is>
      </c>
      <c r="E5244" t="inlineStr">
        <is>
          <t>FINSPÅNG</t>
        </is>
      </c>
      <c r="F5244" t="inlineStr">
        <is>
          <t>Holmen skog AB</t>
        </is>
      </c>
      <c r="G5244" t="n">
        <v>0.7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s="2" t="inlineStr"/>
    </row>
    <row r="5245" ht="15" customHeight="1">
      <c r="A5245" t="inlineStr">
        <is>
          <t>A 19807-2023</t>
        </is>
      </c>
      <c r="B5245" s="1" t="n">
        <v>45051</v>
      </c>
      <c r="C5245" s="1" t="n">
        <v>45211</v>
      </c>
      <c r="D5245" t="inlineStr">
        <is>
          <t>ÖSTERGÖTLANDS LÄN</t>
        </is>
      </c>
      <c r="E5245" t="inlineStr">
        <is>
          <t>FINSPÅNG</t>
        </is>
      </c>
      <c r="G5245" t="n">
        <v>1.4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s="2" t="inlineStr"/>
    </row>
    <row r="5246" ht="15" customHeight="1">
      <c r="A5246" t="inlineStr">
        <is>
          <t>A 19982-2023</t>
        </is>
      </c>
      <c r="B5246" s="1" t="n">
        <v>45054</v>
      </c>
      <c r="C5246" s="1" t="n">
        <v>45211</v>
      </c>
      <c r="D5246" t="inlineStr">
        <is>
          <t>ÖSTERGÖTLANDS LÄN</t>
        </is>
      </c>
      <c r="E5246" t="inlineStr">
        <is>
          <t>NORRKÖPING</t>
        </is>
      </c>
      <c r="F5246" t="inlineStr">
        <is>
          <t>Holmen skog AB</t>
        </is>
      </c>
      <c r="G5246" t="n">
        <v>0.6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s="2" t="inlineStr"/>
    </row>
    <row r="5247" ht="15" customHeight="1">
      <c r="A5247" t="inlineStr">
        <is>
          <t>A 20223-2023</t>
        </is>
      </c>
      <c r="B5247" s="1" t="n">
        <v>45055</v>
      </c>
      <c r="C5247" s="1" t="n">
        <v>45211</v>
      </c>
      <c r="D5247" t="inlineStr">
        <is>
          <t>ÖSTERGÖTLANDS LÄN</t>
        </is>
      </c>
      <c r="E5247" t="inlineStr">
        <is>
          <t>SÖDERKÖPING</t>
        </is>
      </c>
      <c r="G5247" t="n">
        <v>2.3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s="2" t="inlineStr"/>
    </row>
    <row r="5248" ht="15" customHeight="1">
      <c r="A5248" t="inlineStr">
        <is>
          <t>A 20252-2023</t>
        </is>
      </c>
      <c r="B5248" s="1" t="n">
        <v>45055</v>
      </c>
      <c r="C5248" s="1" t="n">
        <v>45211</v>
      </c>
      <c r="D5248" t="inlineStr">
        <is>
          <t>ÖSTERGÖTLANDS LÄN</t>
        </is>
      </c>
      <c r="E5248" t="inlineStr">
        <is>
          <t>SÖDERKÖPING</t>
        </is>
      </c>
      <c r="G5248" t="n">
        <v>1.1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s="2" t="inlineStr"/>
    </row>
    <row r="5249" ht="15" customHeight="1">
      <c r="A5249" t="inlineStr">
        <is>
          <t>A 20157-2023</t>
        </is>
      </c>
      <c r="B5249" s="1" t="n">
        <v>45055</v>
      </c>
      <c r="C5249" s="1" t="n">
        <v>45211</v>
      </c>
      <c r="D5249" t="inlineStr">
        <is>
          <t>ÖSTERGÖTLANDS LÄN</t>
        </is>
      </c>
      <c r="E5249" t="inlineStr">
        <is>
          <t>FINSPÅNG</t>
        </is>
      </c>
      <c r="G5249" t="n">
        <v>1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s="2" t="inlineStr"/>
    </row>
    <row r="5250" ht="15" customHeight="1">
      <c r="A5250" t="inlineStr">
        <is>
          <t>A 20221-2023</t>
        </is>
      </c>
      <c r="B5250" s="1" t="n">
        <v>45055</v>
      </c>
      <c r="C5250" s="1" t="n">
        <v>45211</v>
      </c>
      <c r="D5250" t="inlineStr">
        <is>
          <t>ÖSTERGÖTLANDS LÄN</t>
        </is>
      </c>
      <c r="E5250" t="inlineStr">
        <is>
          <t>SÖDERKÖPING</t>
        </is>
      </c>
      <c r="G5250" t="n">
        <v>2.8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s="2" t="inlineStr"/>
    </row>
    <row r="5251" ht="15" customHeight="1">
      <c r="A5251" t="inlineStr">
        <is>
          <t>A 20254-2023</t>
        </is>
      </c>
      <c r="B5251" s="1" t="n">
        <v>45055</v>
      </c>
      <c r="C5251" s="1" t="n">
        <v>45211</v>
      </c>
      <c r="D5251" t="inlineStr">
        <is>
          <t>ÖSTERGÖTLANDS LÄN</t>
        </is>
      </c>
      <c r="E5251" t="inlineStr">
        <is>
          <t>SÖDERKÖPING</t>
        </is>
      </c>
      <c r="G5251" t="n">
        <v>1.3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s="2" t="inlineStr"/>
    </row>
    <row r="5252" ht="15" customHeight="1">
      <c r="A5252" t="inlineStr">
        <is>
          <t>A 20734-2023</t>
        </is>
      </c>
      <c r="B5252" s="1" t="n">
        <v>45055</v>
      </c>
      <c r="C5252" s="1" t="n">
        <v>45211</v>
      </c>
      <c r="D5252" t="inlineStr">
        <is>
          <t>ÖSTERGÖTLANDS LÄN</t>
        </is>
      </c>
      <c r="E5252" t="inlineStr">
        <is>
          <t>LINKÖPING</t>
        </is>
      </c>
      <c r="F5252" t="inlineStr">
        <is>
          <t>Övriga statliga verk och myndigheter</t>
        </is>
      </c>
      <c r="G5252" t="n">
        <v>2.3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s="2" t="inlineStr"/>
    </row>
    <row r="5253" ht="15" customHeight="1">
      <c r="A5253" t="inlineStr">
        <is>
          <t>A 20251-2023</t>
        </is>
      </c>
      <c r="B5253" s="1" t="n">
        <v>45055</v>
      </c>
      <c r="C5253" s="1" t="n">
        <v>45211</v>
      </c>
      <c r="D5253" t="inlineStr">
        <is>
          <t>ÖSTERGÖTLANDS LÄN</t>
        </is>
      </c>
      <c r="E5253" t="inlineStr">
        <is>
          <t>SÖDERKÖPING</t>
        </is>
      </c>
      <c r="G5253" t="n">
        <v>0.5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s="2" t="inlineStr"/>
    </row>
    <row r="5254" ht="15" customHeight="1">
      <c r="A5254" t="inlineStr">
        <is>
          <t>A 20253-2023</t>
        </is>
      </c>
      <c r="B5254" s="1" t="n">
        <v>45055</v>
      </c>
      <c r="C5254" s="1" t="n">
        <v>45211</v>
      </c>
      <c r="D5254" t="inlineStr">
        <is>
          <t>ÖSTERGÖTLANDS LÄN</t>
        </is>
      </c>
      <c r="E5254" t="inlineStr">
        <is>
          <t>SÖDERKÖPING</t>
        </is>
      </c>
      <c r="G5254" t="n">
        <v>0.8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s="2" t="inlineStr"/>
    </row>
    <row r="5255" ht="15" customHeight="1">
      <c r="A5255" t="inlineStr">
        <is>
          <t>A 20318-2023</t>
        </is>
      </c>
      <c r="B5255" s="1" t="n">
        <v>45056</v>
      </c>
      <c r="C5255" s="1" t="n">
        <v>45211</v>
      </c>
      <c r="D5255" t="inlineStr">
        <is>
          <t>ÖSTERGÖTLANDS LÄN</t>
        </is>
      </c>
      <c r="E5255" t="inlineStr">
        <is>
          <t>LINKÖPING</t>
        </is>
      </c>
      <c r="F5255" t="inlineStr">
        <is>
          <t>Allmännings- och besparingsskogar</t>
        </is>
      </c>
      <c r="G5255" t="n">
        <v>1.2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s="2" t="inlineStr"/>
    </row>
    <row r="5256" ht="15" customHeight="1">
      <c r="A5256" t="inlineStr">
        <is>
          <t>A 20376-2023</t>
        </is>
      </c>
      <c r="B5256" s="1" t="n">
        <v>45056</v>
      </c>
      <c r="C5256" s="1" t="n">
        <v>45211</v>
      </c>
      <c r="D5256" t="inlineStr">
        <is>
          <t>ÖSTERGÖTLANDS LÄN</t>
        </is>
      </c>
      <c r="E5256" t="inlineStr">
        <is>
          <t>NORRKÖPING</t>
        </is>
      </c>
      <c r="G5256" t="n">
        <v>0.5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s="2" t="inlineStr"/>
    </row>
    <row r="5257" ht="15" customHeight="1">
      <c r="A5257" t="inlineStr">
        <is>
          <t>A 20365-2023</t>
        </is>
      </c>
      <c r="B5257" s="1" t="n">
        <v>45056</v>
      </c>
      <c r="C5257" s="1" t="n">
        <v>45211</v>
      </c>
      <c r="D5257" t="inlineStr">
        <is>
          <t>ÖSTERGÖTLANDS LÄN</t>
        </is>
      </c>
      <c r="E5257" t="inlineStr">
        <is>
          <t>SÖDERKÖPING</t>
        </is>
      </c>
      <c r="G5257" t="n">
        <v>0.8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s="2" t="inlineStr"/>
    </row>
    <row r="5258" ht="15" customHeight="1">
      <c r="A5258" t="inlineStr">
        <is>
          <t>A 20371-2023</t>
        </is>
      </c>
      <c r="B5258" s="1" t="n">
        <v>45056</v>
      </c>
      <c r="C5258" s="1" t="n">
        <v>45211</v>
      </c>
      <c r="D5258" t="inlineStr">
        <is>
          <t>ÖSTERGÖTLANDS LÄN</t>
        </is>
      </c>
      <c r="E5258" t="inlineStr">
        <is>
          <t>SÖDERKÖPING</t>
        </is>
      </c>
      <c r="G5258" t="n">
        <v>2.4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s="2" t="inlineStr"/>
    </row>
    <row r="5259" ht="15" customHeight="1">
      <c r="A5259" t="inlineStr">
        <is>
          <t>A 20435-2023</t>
        </is>
      </c>
      <c r="B5259" s="1" t="n">
        <v>45056</v>
      </c>
      <c r="C5259" s="1" t="n">
        <v>45211</v>
      </c>
      <c r="D5259" t="inlineStr">
        <is>
          <t>ÖSTERGÖTLANDS LÄN</t>
        </is>
      </c>
      <c r="E5259" t="inlineStr">
        <is>
          <t>MJÖLBY</t>
        </is>
      </c>
      <c r="G5259" t="n">
        <v>3.7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s="2" t="inlineStr"/>
    </row>
    <row r="5260" ht="15" customHeight="1">
      <c r="A5260" t="inlineStr">
        <is>
          <t>A 20334-2023</t>
        </is>
      </c>
      <c r="B5260" s="1" t="n">
        <v>45056</v>
      </c>
      <c r="C5260" s="1" t="n">
        <v>45211</v>
      </c>
      <c r="D5260" t="inlineStr">
        <is>
          <t>ÖSTERGÖTLANDS LÄN</t>
        </is>
      </c>
      <c r="E5260" t="inlineStr">
        <is>
          <t>KINDA</t>
        </is>
      </c>
      <c r="G5260" t="n">
        <v>0.9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s="2" t="inlineStr"/>
    </row>
    <row r="5261" ht="15" customHeight="1">
      <c r="A5261" t="inlineStr">
        <is>
          <t>A 20374-2023</t>
        </is>
      </c>
      <c r="B5261" s="1" t="n">
        <v>45056</v>
      </c>
      <c r="C5261" s="1" t="n">
        <v>45211</v>
      </c>
      <c r="D5261" t="inlineStr">
        <is>
          <t>ÖSTERGÖTLANDS LÄN</t>
        </is>
      </c>
      <c r="E5261" t="inlineStr">
        <is>
          <t>NORRKÖPING</t>
        </is>
      </c>
      <c r="G5261" t="n">
        <v>1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s="2" t="inlineStr"/>
    </row>
    <row r="5262" ht="15" customHeight="1">
      <c r="A5262" t="inlineStr">
        <is>
          <t>A 20428-2023</t>
        </is>
      </c>
      <c r="B5262" s="1" t="n">
        <v>45056</v>
      </c>
      <c r="C5262" s="1" t="n">
        <v>45211</v>
      </c>
      <c r="D5262" t="inlineStr">
        <is>
          <t>ÖSTERGÖTLANDS LÄN</t>
        </is>
      </c>
      <c r="E5262" t="inlineStr">
        <is>
          <t>NORRKÖPING</t>
        </is>
      </c>
      <c r="F5262" t="inlineStr">
        <is>
          <t>Allmännings- och besparingsskogar</t>
        </is>
      </c>
      <c r="G5262" t="n">
        <v>0.8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s="2" t="inlineStr"/>
    </row>
    <row r="5263" ht="15" customHeight="1">
      <c r="A5263" t="inlineStr">
        <is>
          <t>A 20372-2023</t>
        </is>
      </c>
      <c r="B5263" s="1" t="n">
        <v>45056</v>
      </c>
      <c r="C5263" s="1" t="n">
        <v>45211</v>
      </c>
      <c r="D5263" t="inlineStr">
        <is>
          <t>ÖSTERGÖTLANDS LÄN</t>
        </is>
      </c>
      <c r="E5263" t="inlineStr">
        <is>
          <t>ÅTVIDABERG</t>
        </is>
      </c>
      <c r="G5263" t="n">
        <v>0.6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s="2" t="inlineStr"/>
    </row>
    <row r="5264" ht="15" customHeight="1">
      <c r="A5264" t="inlineStr">
        <is>
          <t>A 20464-2023</t>
        </is>
      </c>
      <c r="B5264" s="1" t="n">
        <v>45057</v>
      </c>
      <c r="C5264" s="1" t="n">
        <v>45211</v>
      </c>
      <c r="D5264" t="inlineStr">
        <is>
          <t>ÖSTERGÖTLANDS LÄN</t>
        </is>
      </c>
      <c r="E5264" t="inlineStr">
        <is>
          <t>FINSPÅNG</t>
        </is>
      </c>
      <c r="G5264" t="n">
        <v>1.1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s="2" t="inlineStr"/>
    </row>
    <row r="5265" ht="15" customHeight="1">
      <c r="A5265" t="inlineStr">
        <is>
          <t>A 21241-2023</t>
        </is>
      </c>
      <c r="B5265" s="1" t="n">
        <v>45057</v>
      </c>
      <c r="C5265" s="1" t="n">
        <v>45211</v>
      </c>
      <c r="D5265" t="inlineStr">
        <is>
          <t>ÖSTERGÖTLANDS LÄN</t>
        </is>
      </c>
      <c r="E5265" t="inlineStr">
        <is>
          <t>ÅTVIDABERG</t>
        </is>
      </c>
      <c r="G5265" t="n">
        <v>1.5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s="2" t="inlineStr"/>
    </row>
    <row r="5266" ht="15" customHeight="1">
      <c r="A5266" t="inlineStr">
        <is>
          <t>A 20783-2023</t>
        </is>
      </c>
      <c r="B5266" s="1" t="n">
        <v>45058</v>
      </c>
      <c r="C5266" s="1" t="n">
        <v>45211</v>
      </c>
      <c r="D5266" t="inlineStr">
        <is>
          <t>ÖSTERGÖTLANDS LÄN</t>
        </is>
      </c>
      <c r="E5266" t="inlineStr">
        <is>
          <t>SÖDERKÖPING</t>
        </is>
      </c>
      <c r="G5266" t="n">
        <v>1.2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s="2" t="inlineStr"/>
    </row>
    <row r="5267" ht="15" customHeight="1">
      <c r="A5267" t="inlineStr">
        <is>
          <t>A 20811-2023</t>
        </is>
      </c>
      <c r="B5267" s="1" t="n">
        <v>45058</v>
      </c>
      <c r="C5267" s="1" t="n">
        <v>45211</v>
      </c>
      <c r="D5267" t="inlineStr">
        <is>
          <t>ÖSTERGÖTLANDS LÄN</t>
        </is>
      </c>
      <c r="E5267" t="inlineStr">
        <is>
          <t>NORRKÖPING</t>
        </is>
      </c>
      <c r="F5267" t="inlineStr">
        <is>
          <t>Holmen skog AB</t>
        </is>
      </c>
      <c r="G5267" t="n">
        <v>0.7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s="2" t="inlineStr"/>
    </row>
    <row r="5268" ht="15" customHeight="1">
      <c r="A5268" t="inlineStr">
        <is>
          <t>A 21465-2023</t>
        </is>
      </c>
      <c r="B5268" s="1" t="n">
        <v>45058</v>
      </c>
      <c r="C5268" s="1" t="n">
        <v>45211</v>
      </c>
      <c r="D5268" t="inlineStr">
        <is>
          <t>ÖSTERGÖTLANDS LÄN</t>
        </is>
      </c>
      <c r="E5268" t="inlineStr">
        <is>
          <t>ÅTVIDABERG</t>
        </is>
      </c>
      <c r="G5268" t="n">
        <v>4.6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s="2" t="inlineStr"/>
    </row>
    <row r="5269" ht="15" customHeight="1">
      <c r="A5269" t="inlineStr">
        <is>
          <t>A 20641-2023</t>
        </is>
      </c>
      <c r="B5269" s="1" t="n">
        <v>45058</v>
      </c>
      <c r="C5269" s="1" t="n">
        <v>45211</v>
      </c>
      <c r="D5269" t="inlineStr">
        <is>
          <t>ÖSTERGÖTLANDS LÄN</t>
        </is>
      </c>
      <c r="E5269" t="inlineStr">
        <is>
          <t>FINSPÅNG</t>
        </is>
      </c>
      <c r="G5269" t="n">
        <v>2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s="2" t="inlineStr"/>
    </row>
    <row r="5270" ht="15" customHeight="1">
      <c r="A5270" t="inlineStr">
        <is>
          <t>A 20794-2023</t>
        </is>
      </c>
      <c r="B5270" s="1" t="n">
        <v>45058</v>
      </c>
      <c r="C5270" s="1" t="n">
        <v>45211</v>
      </c>
      <c r="D5270" t="inlineStr">
        <is>
          <t>ÖSTERGÖTLANDS LÄN</t>
        </is>
      </c>
      <c r="E5270" t="inlineStr">
        <is>
          <t>VALDEMARSVIK</t>
        </is>
      </c>
      <c r="G5270" t="n">
        <v>9.199999999999999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s="2" t="inlineStr"/>
    </row>
    <row r="5271" ht="15" customHeight="1">
      <c r="A5271" t="inlineStr">
        <is>
          <t>A 21440-2023</t>
        </is>
      </c>
      <c r="B5271" s="1" t="n">
        <v>45058</v>
      </c>
      <c r="C5271" s="1" t="n">
        <v>45211</v>
      </c>
      <c r="D5271" t="inlineStr">
        <is>
          <t>ÖSTERGÖTLANDS LÄN</t>
        </is>
      </c>
      <c r="E5271" t="inlineStr">
        <is>
          <t>ÅTVIDABERG</t>
        </is>
      </c>
      <c r="G5271" t="n">
        <v>8.699999999999999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s="2" t="inlineStr"/>
    </row>
    <row r="5272" ht="15" customHeight="1">
      <c r="A5272" t="inlineStr">
        <is>
          <t>A 20640-2023</t>
        </is>
      </c>
      <c r="B5272" s="1" t="n">
        <v>45058</v>
      </c>
      <c r="C5272" s="1" t="n">
        <v>45211</v>
      </c>
      <c r="D5272" t="inlineStr">
        <is>
          <t>ÖSTERGÖTLANDS LÄN</t>
        </is>
      </c>
      <c r="E5272" t="inlineStr">
        <is>
          <t>FINSPÅNG</t>
        </is>
      </c>
      <c r="G5272" t="n">
        <v>2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s="2" t="inlineStr"/>
    </row>
    <row r="5273" ht="15" customHeight="1">
      <c r="A5273" t="inlineStr">
        <is>
          <t>A 20668-2023</t>
        </is>
      </c>
      <c r="B5273" s="1" t="n">
        <v>45058</v>
      </c>
      <c r="C5273" s="1" t="n">
        <v>45211</v>
      </c>
      <c r="D5273" t="inlineStr">
        <is>
          <t>ÖSTERGÖTLANDS LÄN</t>
        </is>
      </c>
      <c r="E5273" t="inlineStr">
        <is>
          <t>NORRKÖPING</t>
        </is>
      </c>
      <c r="F5273" t="inlineStr">
        <is>
          <t>Holmen skog AB</t>
        </is>
      </c>
      <c r="G5273" t="n">
        <v>3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s="2" t="inlineStr"/>
    </row>
    <row r="5274" ht="15" customHeight="1">
      <c r="A5274" t="inlineStr">
        <is>
          <t>A 21406-2023</t>
        </is>
      </c>
      <c r="B5274" s="1" t="n">
        <v>45058</v>
      </c>
      <c r="C5274" s="1" t="n">
        <v>45211</v>
      </c>
      <c r="D5274" t="inlineStr">
        <is>
          <t>ÖSTERGÖTLANDS LÄN</t>
        </is>
      </c>
      <c r="E5274" t="inlineStr">
        <is>
          <t>ÅTVIDABERG</t>
        </is>
      </c>
      <c r="G5274" t="n">
        <v>1.7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s="2" t="inlineStr"/>
    </row>
    <row r="5275" ht="15" customHeight="1">
      <c r="A5275" t="inlineStr">
        <is>
          <t>A 21414-2023</t>
        </is>
      </c>
      <c r="B5275" s="1" t="n">
        <v>45058</v>
      </c>
      <c r="C5275" s="1" t="n">
        <v>45211</v>
      </c>
      <c r="D5275" t="inlineStr">
        <is>
          <t>ÖSTERGÖTLANDS LÄN</t>
        </is>
      </c>
      <c r="E5275" t="inlineStr">
        <is>
          <t>ÅTVIDABERG</t>
        </is>
      </c>
      <c r="G5275" t="n">
        <v>5.6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s="2" t="inlineStr"/>
    </row>
    <row r="5276" ht="15" customHeight="1">
      <c r="A5276" t="inlineStr">
        <is>
          <t>A 20962-2023</t>
        </is>
      </c>
      <c r="B5276" s="1" t="n">
        <v>45061</v>
      </c>
      <c r="C5276" s="1" t="n">
        <v>45211</v>
      </c>
      <c r="D5276" t="inlineStr">
        <is>
          <t>ÖSTERGÖTLANDS LÄN</t>
        </is>
      </c>
      <c r="E5276" t="inlineStr">
        <is>
          <t>SÖDERKÖPING</t>
        </is>
      </c>
      <c r="G5276" t="n">
        <v>1.9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s="2" t="inlineStr"/>
    </row>
    <row r="5277" ht="15" customHeight="1">
      <c r="A5277" t="inlineStr">
        <is>
          <t>A 20970-2023</t>
        </is>
      </c>
      <c r="B5277" s="1" t="n">
        <v>45061</v>
      </c>
      <c r="C5277" s="1" t="n">
        <v>45211</v>
      </c>
      <c r="D5277" t="inlineStr">
        <is>
          <t>ÖSTERGÖTLANDS LÄN</t>
        </is>
      </c>
      <c r="E5277" t="inlineStr">
        <is>
          <t>SÖDERKÖPING</t>
        </is>
      </c>
      <c r="G5277" t="n">
        <v>0.7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s="2" t="inlineStr"/>
    </row>
    <row r="5278" ht="15" customHeight="1">
      <c r="A5278" t="inlineStr">
        <is>
          <t>A 20965-2023</t>
        </is>
      </c>
      <c r="B5278" s="1" t="n">
        <v>45061</v>
      </c>
      <c r="C5278" s="1" t="n">
        <v>45211</v>
      </c>
      <c r="D5278" t="inlineStr">
        <is>
          <t>ÖSTERGÖTLANDS LÄN</t>
        </is>
      </c>
      <c r="E5278" t="inlineStr">
        <is>
          <t>SÖDERKÖPING</t>
        </is>
      </c>
      <c r="G5278" t="n">
        <v>1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s="2" t="inlineStr"/>
    </row>
    <row r="5279" ht="15" customHeight="1">
      <c r="A5279" t="inlineStr">
        <is>
          <t>A 20967-2023</t>
        </is>
      </c>
      <c r="B5279" s="1" t="n">
        <v>45061</v>
      </c>
      <c r="C5279" s="1" t="n">
        <v>45211</v>
      </c>
      <c r="D5279" t="inlineStr">
        <is>
          <t>ÖSTERGÖTLANDS LÄN</t>
        </is>
      </c>
      <c r="E5279" t="inlineStr">
        <is>
          <t>SÖDERKÖPING</t>
        </is>
      </c>
      <c r="G5279" t="n">
        <v>1.3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s="2" t="inlineStr"/>
    </row>
    <row r="5280" ht="15" customHeight="1">
      <c r="A5280" t="inlineStr">
        <is>
          <t>A 21021-2023</t>
        </is>
      </c>
      <c r="B5280" s="1" t="n">
        <v>45061</v>
      </c>
      <c r="C5280" s="1" t="n">
        <v>45211</v>
      </c>
      <c r="D5280" t="inlineStr">
        <is>
          <t>ÖSTERGÖTLANDS LÄN</t>
        </is>
      </c>
      <c r="E5280" t="inlineStr">
        <is>
          <t>ÅTVIDABERG</t>
        </is>
      </c>
      <c r="G5280" t="n">
        <v>2.3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s="2" t="inlineStr"/>
    </row>
    <row r="5281" ht="15" customHeight="1">
      <c r="A5281" t="inlineStr">
        <is>
          <t>A 21527-2023</t>
        </is>
      </c>
      <c r="B5281" s="1" t="n">
        <v>45061</v>
      </c>
      <c r="C5281" s="1" t="n">
        <v>45211</v>
      </c>
      <c r="D5281" t="inlineStr">
        <is>
          <t>ÖSTERGÖTLANDS LÄN</t>
        </is>
      </c>
      <c r="E5281" t="inlineStr">
        <is>
          <t>MOTALA</t>
        </is>
      </c>
      <c r="G5281" t="n">
        <v>2.3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s="2" t="inlineStr"/>
    </row>
    <row r="5282" ht="15" customHeight="1">
      <c r="A5282" t="inlineStr">
        <is>
          <t>A 21151-2023</t>
        </is>
      </c>
      <c r="B5282" s="1" t="n">
        <v>45062</v>
      </c>
      <c r="C5282" s="1" t="n">
        <v>45211</v>
      </c>
      <c r="D5282" t="inlineStr">
        <is>
          <t>ÖSTERGÖTLANDS LÄN</t>
        </is>
      </c>
      <c r="E5282" t="inlineStr">
        <is>
          <t>BOXHOLM</t>
        </is>
      </c>
      <c r="G5282" t="n">
        <v>1.8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s="2" t="inlineStr"/>
    </row>
    <row r="5283" ht="15" customHeight="1">
      <c r="A5283" t="inlineStr">
        <is>
          <t>A 21635-2023</t>
        </is>
      </c>
      <c r="B5283" s="1" t="n">
        <v>45062</v>
      </c>
      <c r="C5283" s="1" t="n">
        <v>45211</v>
      </c>
      <c r="D5283" t="inlineStr">
        <is>
          <t>ÖSTERGÖTLANDS LÄN</t>
        </is>
      </c>
      <c r="E5283" t="inlineStr">
        <is>
          <t>BOXHOLM</t>
        </is>
      </c>
      <c r="G5283" t="n">
        <v>6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s="2" t="inlineStr"/>
    </row>
    <row r="5284" ht="15" customHeight="1">
      <c r="A5284" t="inlineStr">
        <is>
          <t>A 21233-2023</t>
        </is>
      </c>
      <c r="B5284" s="1" t="n">
        <v>45062</v>
      </c>
      <c r="C5284" s="1" t="n">
        <v>45211</v>
      </c>
      <c r="D5284" t="inlineStr">
        <is>
          <t>ÖSTERGÖTLANDS LÄN</t>
        </is>
      </c>
      <c r="E5284" t="inlineStr">
        <is>
          <t>VALDEMARSVIK</t>
        </is>
      </c>
      <c r="G5284" t="n">
        <v>3.3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s="2" t="inlineStr"/>
    </row>
    <row r="5285" ht="15" customHeight="1">
      <c r="A5285" t="inlineStr">
        <is>
          <t>A 21699-2023</t>
        </is>
      </c>
      <c r="B5285" s="1" t="n">
        <v>45062</v>
      </c>
      <c r="C5285" s="1" t="n">
        <v>45211</v>
      </c>
      <c r="D5285" t="inlineStr">
        <is>
          <t>ÖSTERGÖTLANDS LÄN</t>
        </is>
      </c>
      <c r="E5285" t="inlineStr">
        <is>
          <t>KINDA</t>
        </is>
      </c>
      <c r="G5285" t="n">
        <v>1.6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s="2" t="inlineStr"/>
    </row>
    <row r="5286" ht="15" customHeight="1">
      <c r="A5286" t="inlineStr">
        <is>
          <t>A 21294-2023</t>
        </is>
      </c>
      <c r="B5286" s="1" t="n">
        <v>45062</v>
      </c>
      <c r="C5286" s="1" t="n">
        <v>45211</v>
      </c>
      <c r="D5286" t="inlineStr">
        <is>
          <t>ÖSTERGÖTLANDS LÄN</t>
        </is>
      </c>
      <c r="E5286" t="inlineStr">
        <is>
          <t>KINDA</t>
        </is>
      </c>
      <c r="G5286" t="n">
        <v>2.2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s="2" t="inlineStr"/>
    </row>
    <row r="5287" ht="15" customHeight="1">
      <c r="A5287" t="inlineStr">
        <is>
          <t>A 21634-2023</t>
        </is>
      </c>
      <c r="B5287" s="1" t="n">
        <v>45062</v>
      </c>
      <c r="C5287" s="1" t="n">
        <v>45211</v>
      </c>
      <c r="D5287" t="inlineStr">
        <is>
          <t>ÖSTERGÖTLANDS LÄN</t>
        </is>
      </c>
      <c r="E5287" t="inlineStr">
        <is>
          <t>BOXHOLM</t>
        </is>
      </c>
      <c r="G5287" t="n">
        <v>0.7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s="2" t="inlineStr"/>
    </row>
    <row r="5288" ht="15" customHeight="1">
      <c r="A5288" t="inlineStr">
        <is>
          <t>A 21235-2023</t>
        </is>
      </c>
      <c r="B5288" s="1" t="n">
        <v>45062</v>
      </c>
      <c r="C5288" s="1" t="n">
        <v>45211</v>
      </c>
      <c r="D5288" t="inlineStr">
        <is>
          <t>ÖSTERGÖTLANDS LÄN</t>
        </is>
      </c>
      <c r="E5288" t="inlineStr">
        <is>
          <t>VALDEMARSVIK</t>
        </is>
      </c>
      <c r="G5288" t="n">
        <v>1.2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s="2" t="inlineStr"/>
    </row>
    <row r="5289" ht="15" customHeight="1">
      <c r="A5289" t="inlineStr">
        <is>
          <t>A 21700-2023</t>
        </is>
      </c>
      <c r="B5289" s="1" t="n">
        <v>45062</v>
      </c>
      <c r="C5289" s="1" t="n">
        <v>45211</v>
      </c>
      <c r="D5289" t="inlineStr">
        <is>
          <t>ÖSTERGÖTLANDS LÄN</t>
        </is>
      </c>
      <c r="E5289" t="inlineStr">
        <is>
          <t>KINDA</t>
        </is>
      </c>
      <c r="G5289" t="n">
        <v>0.6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s="2" t="inlineStr"/>
    </row>
    <row r="5290" ht="15" customHeight="1">
      <c r="A5290" t="inlineStr">
        <is>
          <t>A 21648-2023</t>
        </is>
      </c>
      <c r="B5290" s="1" t="n">
        <v>45063</v>
      </c>
      <c r="C5290" s="1" t="n">
        <v>45211</v>
      </c>
      <c r="D5290" t="inlineStr">
        <is>
          <t>ÖSTERGÖTLANDS LÄN</t>
        </is>
      </c>
      <c r="E5290" t="inlineStr">
        <is>
          <t>SÖDERKÖPING</t>
        </is>
      </c>
      <c r="G5290" t="n">
        <v>3.2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s="2" t="inlineStr"/>
    </row>
    <row r="5291" ht="15" customHeight="1">
      <c r="A5291" t="inlineStr">
        <is>
          <t>A 21655-2023</t>
        </is>
      </c>
      <c r="B5291" s="1" t="n">
        <v>45063</v>
      </c>
      <c r="C5291" s="1" t="n">
        <v>45211</v>
      </c>
      <c r="D5291" t="inlineStr">
        <is>
          <t>ÖSTERGÖTLANDS LÄN</t>
        </is>
      </c>
      <c r="E5291" t="inlineStr">
        <is>
          <t>FINSPÅNG</t>
        </is>
      </c>
      <c r="G5291" t="n">
        <v>2.9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s="2" t="inlineStr"/>
    </row>
    <row r="5292" ht="15" customHeight="1">
      <c r="A5292" t="inlineStr">
        <is>
          <t>A 21483-2023</t>
        </is>
      </c>
      <c r="B5292" s="1" t="n">
        <v>45063</v>
      </c>
      <c r="C5292" s="1" t="n">
        <v>45211</v>
      </c>
      <c r="D5292" t="inlineStr">
        <is>
          <t>ÖSTERGÖTLANDS LÄN</t>
        </is>
      </c>
      <c r="E5292" t="inlineStr">
        <is>
          <t>VALDEMARSVIK</t>
        </is>
      </c>
      <c r="G5292" t="n">
        <v>2.6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s="2" t="inlineStr"/>
    </row>
    <row r="5293" ht="15" customHeight="1">
      <c r="A5293" t="inlineStr">
        <is>
          <t>A 21500-2023</t>
        </is>
      </c>
      <c r="B5293" s="1" t="n">
        <v>45063</v>
      </c>
      <c r="C5293" s="1" t="n">
        <v>45211</v>
      </c>
      <c r="D5293" t="inlineStr">
        <is>
          <t>ÖSTERGÖTLANDS LÄN</t>
        </is>
      </c>
      <c r="E5293" t="inlineStr">
        <is>
          <t>VALDEMARSVIK</t>
        </is>
      </c>
      <c r="G5293" t="n">
        <v>0.9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s="2" t="inlineStr"/>
    </row>
    <row r="5294" ht="15" customHeight="1">
      <c r="A5294" t="inlineStr">
        <is>
          <t>A 21506-2023</t>
        </is>
      </c>
      <c r="B5294" s="1" t="n">
        <v>45063</v>
      </c>
      <c r="C5294" s="1" t="n">
        <v>45211</v>
      </c>
      <c r="D5294" t="inlineStr">
        <is>
          <t>ÖSTERGÖTLANDS LÄN</t>
        </is>
      </c>
      <c r="E5294" t="inlineStr">
        <is>
          <t>ÅTVIDABERG</t>
        </is>
      </c>
      <c r="F5294" t="inlineStr">
        <is>
          <t>Kyrkan</t>
        </is>
      </c>
      <c r="G5294" t="n">
        <v>0.9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s="2" t="inlineStr"/>
    </row>
    <row r="5295" ht="15" customHeight="1">
      <c r="A5295" t="inlineStr">
        <is>
          <t>A 21541-2023</t>
        </is>
      </c>
      <c r="B5295" s="1" t="n">
        <v>45063</v>
      </c>
      <c r="C5295" s="1" t="n">
        <v>45211</v>
      </c>
      <c r="D5295" t="inlineStr">
        <is>
          <t>ÖSTERGÖTLANDS LÄN</t>
        </is>
      </c>
      <c r="E5295" t="inlineStr">
        <is>
          <t>MOTALA</t>
        </is>
      </c>
      <c r="F5295" t="inlineStr">
        <is>
          <t>Sveaskog</t>
        </is>
      </c>
      <c r="G5295" t="n">
        <v>7.3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s="2" t="inlineStr"/>
    </row>
    <row r="5296" ht="15" customHeight="1">
      <c r="A5296" t="inlineStr">
        <is>
          <t>A 21754-2023</t>
        </is>
      </c>
      <c r="B5296" s="1" t="n">
        <v>45063</v>
      </c>
      <c r="C5296" s="1" t="n">
        <v>45211</v>
      </c>
      <c r="D5296" t="inlineStr">
        <is>
          <t>ÖSTERGÖTLANDS LÄN</t>
        </is>
      </c>
      <c r="E5296" t="inlineStr">
        <is>
          <t>BOXHOLM</t>
        </is>
      </c>
      <c r="G5296" t="n">
        <v>4.3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s="2" t="inlineStr"/>
    </row>
    <row r="5297" ht="15" customHeight="1">
      <c r="A5297" t="inlineStr">
        <is>
          <t>A 21487-2023</t>
        </is>
      </c>
      <c r="B5297" s="1" t="n">
        <v>45063</v>
      </c>
      <c r="C5297" s="1" t="n">
        <v>45211</v>
      </c>
      <c r="D5297" t="inlineStr">
        <is>
          <t>ÖSTERGÖTLANDS LÄN</t>
        </is>
      </c>
      <c r="E5297" t="inlineStr">
        <is>
          <t>VALDEMARSVIK</t>
        </is>
      </c>
      <c r="G5297" t="n">
        <v>1.6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s="2" t="inlineStr"/>
    </row>
    <row r="5298" ht="15" customHeight="1">
      <c r="A5298" t="inlineStr">
        <is>
          <t>A 21511-2023</t>
        </is>
      </c>
      <c r="B5298" s="1" t="n">
        <v>45063</v>
      </c>
      <c r="C5298" s="1" t="n">
        <v>45211</v>
      </c>
      <c r="D5298" t="inlineStr">
        <is>
          <t>ÖSTERGÖTLANDS LÄN</t>
        </is>
      </c>
      <c r="E5298" t="inlineStr">
        <is>
          <t>ÅTVIDABERG</t>
        </is>
      </c>
      <c r="F5298" t="inlineStr">
        <is>
          <t>Kyrkan</t>
        </is>
      </c>
      <c r="G5298" t="n">
        <v>1.1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s="2" t="inlineStr"/>
    </row>
    <row r="5299" ht="15" customHeight="1">
      <c r="A5299" t="inlineStr">
        <is>
          <t>A 21544-2023</t>
        </is>
      </c>
      <c r="B5299" s="1" t="n">
        <v>45063</v>
      </c>
      <c r="C5299" s="1" t="n">
        <v>45211</v>
      </c>
      <c r="D5299" t="inlineStr">
        <is>
          <t>ÖSTERGÖTLANDS LÄN</t>
        </is>
      </c>
      <c r="E5299" t="inlineStr">
        <is>
          <t>MOTALA</t>
        </is>
      </c>
      <c r="F5299" t="inlineStr">
        <is>
          <t>Sveaskog</t>
        </is>
      </c>
      <c r="G5299" t="n">
        <v>1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s="2" t="inlineStr"/>
    </row>
    <row r="5300" ht="15" customHeight="1">
      <c r="A5300" t="inlineStr">
        <is>
          <t>A 21770-2023</t>
        </is>
      </c>
      <c r="B5300" s="1" t="n">
        <v>45065</v>
      </c>
      <c r="C5300" s="1" t="n">
        <v>45211</v>
      </c>
      <c r="D5300" t="inlineStr">
        <is>
          <t>ÖSTERGÖTLANDS LÄN</t>
        </is>
      </c>
      <c r="E5300" t="inlineStr">
        <is>
          <t>ÖDESHÖG</t>
        </is>
      </c>
      <c r="G5300" t="n">
        <v>1.8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s="2" t="inlineStr"/>
    </row>
    <row r="5301" ht="15" customHeight="1">
      <c r="A5301" t="inlineStr">
        <is>
          <t>A 21838-2023</t>
        </is>
      </c>
      <c r="B5301" s="1" t="n">
        <v>45068</v>
      </c>
      <c r="C5301" s="1" t="n">
        <v>45211</v>
      </c>
      <c r="D5301" t="inlineStr">
        <is>
          <t>ÖSTERGÖTLANDS LÄN</t>
        </is>
      </c>
      <c r="E5301" t="inlineStr">
        <is>
          <t>MOTALA</t>
        </is>
      </c>
      <c r="G5301" t="n">
        <v>0.9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s="2" t="inlineStr"/>
    </row>
    <row r="5302" ht="15" customHeight="1">
      <c r="A5302" t="inlineStr">
        <is>
          <t>A 21991-2023</t>
        </is>
      </c>
      <c r="B5302" s="1" t="n">
        <v>45068</v>
      </c>
      <c r="C5302" s="1" t="n">
        <v>45211</v>
      </c>
      <c r="D5302" t="inlineStr">
        <is>
          <t>ÖSTERGÖTLANDS LÄN</t>
        </is>
      </c>
      <c r="E5302" t="inlineStr">
        <is>
          <t>MOTALA</t>
        </is>
      </c>
      <c r="G5302" t="n">
        <v>1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s="2" t="inlineStr"/>
    </row>
    <row r="5303" ht="15" customHeight="1">
      <c r="A5303" t="inlineStr">
        <is>
          <t>A 22040-2023</t>
        </is>
      </c>
      <c r="B5303" s="1" t="n">
        <v>45068</v>
      </c>
      <c r="C5303" s="1" t="n">
        <v>45211</v>
      </c>
      <c r="D5303" t="inlineStr">
        <is>
          <t>ÖSTERGÖTLANDS LÄN</t>
        </is>
      </c>
      <c r="E5303" t="inlineStr">
        <is>
          <t>LINKÖPING</t>
        </is>
      </c>
      <c r="F5303" t="inlineStr">
        <is>
          <t>Kommuner</t>
        </is>
      </c>
      <c r="G5303" t="n">
        <v>1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s="2" t="inlineStr"/>
    </row>
    <row r="5304" ht="15" customHeight="1">
      <c r="A5304" t="inlineStr">
        <is>
          <t>A 22113-2023</t>
        </is>
      </c>
      <c r="B5304" s="1" t="n">
        <v>45069</v>
      </c>
      <c r="C5304" s="1" t="n">
        <v>45211</v>
      </c>
      <c r="D5304" t="inlineStr">
        <is>
          <t>ÖSTERGÖTLANDS LÄN</t>
        </is>
      </c>
      <c r="E5304" t="inlineStr">
        <is>
          <t>MOTALA</t>
        </is>
      </c>
      <c r="G5304" t="n">
        <v>2.4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s="2" t="inlineStr"/>
    </row>
    <row r="5305" ht="15" customHeight="1">
      <c r="A5305" t="inlineStr">
        <is>
          <t>A 22100-2023</t>
        </is>
      </c>
      <c r="B5305" s="1" t="n">
        <v>45069</v>
      </c>
      <c r="C5305" s="1" t="n">
        <v>45211</v>
      </c>
      <c r="D5305" t="inlineStr">
        <is>
          <t>ÖSTERGÖTLANDS LÄN</t>
        </is>
      </c>
      <c r="E5305" t="inlineStr">
        <is>
          <t>LINKÖPING</t>
        </is>
      </c>
      <c r="G5305" t="n">
        <v>3.8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s="2" t="inlineStr"/>
    </row>
    <row r="5306" ht="15" customHeight="1">
      <c r="A5306" t="inlineStr">
        <is>
          <t>A 22088-2023</t>
        </is>
      </c>
      <c r="B5306" s="1" t="n">
        <v>45069</v>
      </c>
      <c r="C5306" s="1" t="n">
        <v>45211</v>
      </c>
      <c r="D5306" t="inlineStr">
        <is>
          <t>ÖSTERGÖTLANDS LÄN</t>
        </is>
      </c>
      <c r="E5306" t="inlineStr">
        <is>
          <t>ÖDESHÖG</t>
        </is>
      </c>
      <c r="G5306" t="n">
        <v>1.9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s="2" t="inlineStr"/>
    </row>
    <row r="5307" ht="15" customHeight="1">
      <c r="A5307" t="inlineStr">
        <is>
          <t>A 22342-2023</t>
        </is>
      </c>
      <c r="B5307" s="1" t="n">
        <v>45070</v>
      </c>
      <c r="C5307" s="1" t="n">
        <v>45211</v>
      </c>
      <c r="D5307" t="inlineStr">
        <is>
          <t>ÖSTERGÖTLANDS LÄN</t>
        </is>
      </c>
      <c r="E5307" t="inlineStr">
        <is>
          <t>FINSPÅNG</t>
        </is>
      </c>
      <c r="F5307" t="inlineStr">
        <is>
          <t>Holmen skog AB</t>
        </is>
      </c>
      <c r="G5307" t="n">
        <v>3.7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s="2" t="inlineStr"/>
    </row>
    <row r="5308" ht="15" customHeight="1">
      <c r="A5308" t="inlineStr">
        <is>
          <t>A 22437-2023</t>
        </is>
      </c>
      <c r="B5308" s="1" t="n">
        <v>45070</v>
      </c>
      <c r="C5308" s="1" t="n">
        <v>45211</v>
      </c>
      <c r="D5308" t="inlineStr">
        <is>
          <t>ÖSTERGÖTLANDS LÄN</t>
        </is>
      </c>
      <c r="E5308" t="inlineStr">
        <is>
          <t>FINSPÅNG</t>
        </is>
      </c>
      <c r="F5308" t="inlineStr">
        <is>
          <t>Holmen skog AB</t>
        </is>
      </c>
      <c r="G5308" t="n">
        <v>3.2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s="2" t="inlineStr"/>
    </row>
    <row r="5309" ht="15" customHeight="1">
      <c r="A5309" t="inlineStr">
        <is>
          <t>A 22282-2023</t>
        </is>
      </c>
      <c r="B5309" s="1" t="n">
        <v>45070</v>
      </c>
      <c r="C5309" s="1" t="n">
        <v>45211</v>
      </c>
      <c r="D5309" t="inlineStr">
        <is>
          <t>ÖSTERGÖTLANDS LÄN</t>
        </is>
      </c>
      <c r="E5309" t="inlineStr">
        <is>
          <t>ÖDESHÖG</t>
        </is>
      </c>
      <c r="G5309" t="n">
        <v>1.4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s="2" t="inlineStr"/>
    </row>
    <row r="5310" ht="15" customHeight="1">
      <c r="A5310" t="inlineStr">
        <is>
          <t>A 22332-2023</t>
        </is>
      </c>
      <c r="B5310" s="1" t="n">
        <v>45070</v>
      </c>
      <c r="C5310" s="1" t="n">
        <v>45211</v>
      </c>
      <c r="D5310" t="inlineStr">
        <is>
          <t>ÖSTERGÖTLANDS LÄN</t>
        </is>
      </c>
      <c r="E5310" t="inlineStr">
        <is>
          <t>YDRE</t>
        </is>
      </c>
      <c r="F5310" t="inlineStr">
        <is>
          <t>Övriga Aktiebolag</t>
        </is>
      </c>
      <c r="G5310" t="n">
        <v>4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s="2" t="inlineStr"/>
    </row>
    <row r="5311" ht="15" customHeight="1">
      <c r="A5311" t="inlineStr">
        <is>
          <t>A 22703-2023</t>
        </is>
      </c>
      <c r="B5311" s="1" t="n">
        <v>45071</v>
      </c>
      <c r="C5311" s="1" t="n">
        <v>45211</v>
      </c>
      <c r="D5311" t="inlineStr">
        <is>
          <t>ÖSTERGÖTLANDS LÄN</t>
        </is>
      </c>
      <c r="E5311" t="inlineStr">
        <is>
          <t>KINDA</t>
        </is>
      </c>
      <c r="G5311" t="n">
        <v>1.1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s="2" t="inlineStr"/>
    </row>
    <row r="5312" ht="15" customHeight="1">
      <c r="A5312" t="inlineStr">
        <is>
          <t>A 22644-2023</t>
        </is>
      </c>
      <c r="B5312" s="1" t="n">
        <v>45071</v>
      </c>
      <c r="C5312" s="1" t="n">
        <v>45211</v>
      </c>
      <c r="D5312" t="inlineStr">
        <is>
          <t>ÖSTERGÖTLANDS LÄN</t>
        </is>
      </c>
      <c r="E5312" t="inlineStr">
        <is>
          <t>FINSPÅNG</t>
        </is>
      </c>
      <c r="G5312" t="n">
        <v>0.9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s="2" t="inlineStr"/>
    </row>
    <row r="5313" ht="15" customHeight="1">
      <c r="A5313" t="inlineStr">
        <is>
          <t>A 22686-2023</t>
        </is>
      </c>
      <c r="B5313" s="1" t="n">
        <v>45071</v>
      </c>
      <c r="C5313" s="1" t="n">
        <v>45211</v>
      </c>
      <c r="D5313" t="inlineStr">
        <is>
          <t>ÖSTERGÖTLANDS LÄN</t>
        </is>
      </c>
      <c r="E5313" t="inlineStr">
        <is>
          <t>KINDA</t>
        </is>
      </c>
      <c r="G5313" t="n">
        <v>3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s="2" t="inlineStr"/>
    </row>
    <row r="5314" ht="15" customHeight="1">
      <c r="A5314" t="inlineStr">
        <is>
          <t>A 22694-2023</t>
        </is>
      </c>
      <c r="B5314" s="1" t="n">
        <v>45071</v>
      </c>
      <c r="C5314" s="1" t="n">
        <v>45211</v>
      </c>
      <c r="D5314" t="inlineStr">
        <is>
          <t>ÖSTERGÖTLANDS LÄN</t>
        </is>
      </c>
      <c r="E5314" t="inlineStr">
        <is>
          <t>KINDA</t>
        </is>
      </c>
      <c r="G5314" t="n">
        <v>1.4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s="2" t="inlineStr"/>
    </row>
    <row r="5315" ht="15" customHeight="1">
      <c r="A5315" t="inlineStr">
        <is>
          <t>A 22842-2023</t>
        </is>
      </c>
      <c r="B5315" s="1" t="n">
        <v>45071</v>
      </c>
      <c r="C5315" s="1" t="n">
        <v>45211</v>
      </c>
      <c r="D5315" t="inlineStr">
        <is>
          <t>ÖSTERGÖTLANDS LÄN</t>
        </is>
      </c>
      <c r="E5315" t="inlineStr">
        <is>
          <t>LINKÖPING</t>
        </is>
      </c>
      <c r="F5315" t="inlineStr">
        <is>
          <t>Kommuner</t>
        </is>
      </c>
      <c r="G5315" t="n">
        <v>1.3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s="2" t="inlineStr"/>
    </row>
    <row r="5316" ht="15" customHeight="1">
      <c r="A5316" t="inlineStr">
        <is>
          <t>A 22539-2023</t>
        </is>
      </c>
      <c r="B5316" s="1" t="n">
        <v>45071</v>
      </c>
      <c r="C5316" s="1" t="n">
        <v>45211</v>
      </c>
      <c r="D5316" t="inlineStr">
        <is>
          <t>ÖSTERGÖTLANDS LÄN</t>
        </is>
      </c>
      <c r="E5316" t="inlineStr">
        <is>
          <t>NORRKÖPING</t>
        </is>
      </c>
      <c r="G5316" t="n">
        <v>0.5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s="2" t="inlineStr"/>
    </row>
    <row r="5317" ht="15" customHeight="1">
      <c r="A5317" t="inlineStr">
        <is>
          <t>A 22647-2023</t>
        </is>
      </c>
      <c r="B5317" s="1" t="n">
        <v>45071</v>
      </c>
      <c r="C5317" s="1" t="n">
        <v>45211</v>
      </c>
      <c r="D5317" t="inlineStr">
        <is>
          <t>ÖSTERGÖTLANDS LÄN</t>
        </is>
      </c>
      <c r="E5317" t="inlineStr">
        <is>
          <t>NORRKÖPING</t>
        </is>
      </c>
      <c r="G5317" t="n">
        <v>1.1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s="2" t="inlineStr"/>
    </row>
    <row r="5318" ht="15" customHeight="1">
      <c r="A5318" t="inlineStr">
        <is>
          <t>A 22651-2023</t>
        </is>
      </c>
      <c r="B5318" s="1" t="n">
        <v>45071</v>
      </c>
      <c r="C5318" s="1" t="n">
        <v>45211</v>
      </c>
      <c r="D5318" t="inlineStr">
        <is>
          <t>ÖSTERGÖTLANDS LÄN</t>
        </is>
      </c>
      <c r="E5318" t="inlineStr">
        <is>
          <t>NORRKÖPING</t>
        </is>
      </c>
      <c r="G5318" t="n">
        <v>2.7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s="2" t="inlineStr"/>
    </row>
    <row r="5319" ht="15" customHeight="1">
      <c r="A5319" t="inlineStr">
        <is>
          <t>A 22689-2023</t>
        </is>
      </c>
      <c r="B5319" s="1" t="n">
        <v>45071</v>
      </c>
      <c r="C5319" s="1" t="n">
        <v>45211</v>
      </c>
      <c r="D5319" t="inlineStr">
        <is>
          <t>ÖSTERGÖTLANDS LÄN</t>
        </is>
      </c>
      <c r="E5319" t="inlineStr">
        <is>
          <t>NORRKÖPING</t>
        </is>
      </c>
      <c r="G5319" t="n">
        <v>3.1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s="2" t="inlineStr"/>
    </row>
    <row r="5320" ht="15" customHeight="1">
      <c r="A5320" t="inlineStr">
        <is>
          <t>A 22693-2023</t>
        </is>
      </c>
      <c r="B5320" s="1" t="n">
        <v>45071</v>
      </c>
      <c r="C5320" s="1" t="n">
        <v>45211</v>
      </c>
      <c r="D5320" t="inlineStr">
        <is>
          <t>ÖSTERGÖTLANDS LÄN</t>
        </is>
      </c>
      <c r="E5320" t="inlineStr">
        <is>
          <t>NORRKÖPING</t>
        </is>
      </c>
      <c r="G5320" t="n">
        <v>5.4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s="2" t="inlineStr"/>
    </row>
    <row r="5321" ht="15" customHeight="1">
      <c r="A5321" t="inlineStr">
        <is>
          <t>A 22833-2023</t>
        </is>
      </c>
      <c r="B5321" s="1" t="n">
        <v>45071</v>
      </c>
      <c r="C5321" s="1" t="n">
        <v>45211</v>
      </c>
      <c r="D5321" t="inlineStr">
        <is>
          <t>ÖSTERGÖTLANDS LÄN</t>
        </is>
      </c>
      <c r="E5321" t="inlineStr">
        <is>
          <t>LINKÖPING</t>
        </is>
      </c>
      <c r="F5321" t="inlineStr">
        <is>
          <t>Kommuner</t>
        </is>
      </c>
      <c r="G5321" t="n">
        <v>1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s="2" t="inlineStr"/>
    </row>
    <row r="5322" ht="15" customHeight="1">
      <c r="A5322" t="inlineStr">
        <is>
          <t>A 22626-2023</t>
        </is>
      </c>
      <c r="B5322" s="1" t="n">
        <v>45071</v>
      </c>
      <c r="C5322" s="1" t="n">
        <v>45211</v>
      </c>
      <c r="D5322" t="inlineStr">
        <is>
          <t>ÖSTERGÖTLANDS LÄN</t>
        </is>
      </c>
      <c r="E5322" t="inlineStr">
        <is>
          <t>NORRKÖPING</t>
        </is>
      </c>
      <c r="G5322" t="n">
        <v>1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s="2" t="inlineStr"/>
    </row>
    <row r="5323" ht="15" customHeight="1">
      <c r="A5323" t="inlineStr">
        <is>
          <t>A 22691-2023</t>
        </is>
      </c>
      <c r="B5323" s="1" t="n">
        <v>45071</v>
      </c>
      <c r="C5323" s="1" t="n">
        <v>45211</v>
      </c>
      <c r="D5323" t="inlineStr">
        <is>
          <t>ÖSTERGÖTLANDS LÄN</t>
        </is>
      </c>
      <c r="E5323" t="inlineStr">
        <is>
          <t>KINDA</t>
        </is>
      </c>
      <c r="G5323" t="n">
        <v>1.2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s="2" t="inlineStr"/>
    </row>
    <row r="5324" ht="15" customHeight="1">
      <c r="A5324" t="inlineStr">
        <is>
          <t>A 22698-2023</t>
        </is>
      </c>
      <c r="B5324" s="1" t="n">
        <v>45071</v>
      </c>
      <c r="C5324" s="1" t="n">
        <v>45211</v>
      </c>
      <c r="D5324" t="inlineStr">
        <is>
          <t>ÖSTERGÖTLANDS LÄN</t>
        </is>
      </c>
      <c r="E5324" t="inlineStr">
        <is>
          <t>NORRKÖPING</t>
        </is>
      </c>
      <c r="G5324" t="n">
        <v>3.2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s="2" t="inlineStr"/>
    </row>
    <row r="5325" ht="15" customHeight="1">
      <c r="A5325" t="inlineStr">
        <is>
          <t>A 22878-2023</t>
        </is>
      </c>
      <c r="B5325" s="1" t="n">
        <v>45072</v>
      </c>
      <c r="C5325" s="1" t="n">
        <v>45211</v>
      </c>
      <c r="D5325" t="inlineStr">
        <is>
          <t>ÖSTERGÖTLANDS LÄN</t>
        </is>
      </c>
      <c r="E5325" t="inlineStr">
        <is>
          <t>ÅTVIDABERG</t>
        </is>
      </c>
      <c r="G5325" t="n">
        <v>1.2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s="2" t="inlineStr"/>
    </row>
    <row r="5326" ht="15" customHeight="1">
      <c r="A5326" t="inlineStr">
        <is>
          <t>A 22956-2023</t>
        </is>
      </c>
      <c r="B5326" s="1" t="n">
        <v>45072</v>
      </c>
      <c r="C5326" s="1" t="n">
        <v>45211</v>
      </c>
      <c r="D5326" t="inlineStr">
        <is>
          <t>ÖSTERGÖTLANDS LÄN</t>
        </is>
      </c>
      <c r="E5326" t="inlineStr">
        <is>
          <t>NORRKÖPING</t>
        </is>
      </c>
      <c r="F5326" t="inlineStr">
        <is>
          <t>Holmen skog AB</t>
        </is>
      </c>
      <c r="G5326" t="n">
        <v>0.5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s="2" t="inlineStr"/>
    </row>
    <row r="5327" ht="15" customHeight="1">
      <c r="A5327" t="inlineStr">
        <is>
          <t>A 23376-2023</t>
        </is>
      </c>
      <c r="B5327" s="1" t="n">
        <v>45076</v>
      </c>
      <c r="C5327" s="1" t="n">
        <v>45211</v>
      </c>
      <c r="D5327" t="inlineStr">
        <is>
          <t>ÖSTERGÖTLANDS LÄN</t>
        </is>
      </c>
      <c r="E5327" t="inlineStr">
        <is>
          <t>LINKÖPING</t>
        </is>
      </c>
      <c r="G5327" t="n">
        <v>2.9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s="2" t="inlineStr"/>
    </row>
    <row r="5328" ht="15" customHeight="1">
      <c r="A5328" t="inlineStr">
        <is>
          <t>A 23426-2023</t>
        </is>
      </c>
      <c r="B5328" s="1" t="n">
        <v>45076</v>
      </c>
      <c r="C5328" s="1" t="n">
        <v>45211</v>
      </c>
      <c r="D5328" t="inlineStr">
        <is>
          <t>ÖSTERGÖTLANDS LÄN</t>
        </is>
      </c>
      <c r="E5328" t="inlineStr">
        <is>
          <t>NORRKÖPING</t>
        </is>
      </c>
      <c r="F5328" t="inlineStr">
        <is>
          <t>Holmen skog AB</t>
        </is>
      </c>
      <c r="G5328" t="n">
        <v>2.5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s="2" t="inlineStr"/>
    </row>
    <row r="5329" ht="15" customHeight="1">
      <c r="A5329" t="inlineStr">
        <is>
          <t>A 23492-2023</t>
        </is>
      </c>
      <c r="B5329" s="1" t="n">
        <v>45076</v>
      </c>
      <c r="C5329" s="1" t="n">
        <v>45211</v>
      </c>
      <c r="D5329" t="inlineStr">
        <is>
          <t>ÖSTERGÖTLANDS LÄN</t>
        </is>
      </c>
      <c r="E5329" t="inlineStr">
        <is>
          <t>NORRKÖPING</t>
        </is>
      </c>
      <c r="F5329" t="inlineStr">
        <is>
          <t>Holmen skog AB</t>
        </is>
      </c>
      <c r="G5329" t="n">
        <v>0.7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s="2" t="inlineStr"/>
    </row>
    <row r="5330" ht="15" customHeight="1">
      <c r="A5330" t="inlineStr">
        <is>
          <t>A 23510-2023</t>
        </is>
      </c>
      <c r="B5330" s="1" t="n">
        <v>45076</v>
      </c>
      <c r="C5330" s="1" t="n">
        <v>45211</v>
      </c>
      <c r="D5330" t="inlineStr">
        <is>
          <t>ÖSTERGÖTLANDS LÄN</t>
        </is>
      </c>
      <c r="E5330" t="inlineStr">
        <is>
          <t>KINDA</t>
        </is>
      </c>
      <c r="G5330" t="n">
        <v>1.9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s="2" t="inlineStr"/>
    </row>
    <row r="5331" ht="15" customHeight="1">
      <c r="A5331" t="inlineStr">
        <is>
          <t>A 23350-2023</t>
        </is>
      </c>
      <c r="B5331" s="1" t="n">
        <v>45076</v>
      </c>
      <c r="C5331" s="1" t="n">
        <v>45211</v>
      </c>
      <c r="D5331" t="inlineStr">
        <is>
          <t>ÖSTERGÖTLANDS LÄN</t>
        </is>
      </c>
      <c r="E5331" t="inlineStr">
        <is>
          <t>FINSPÅNG</t>
        </is>
      </c>
      <c r="F5331" t="inlineStr">
        <is>
          <t>Holmen skog AB</t>
        </is>
      </c>
      <c r="G5331" t="n">
        <v>1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s="2" t="inlineStr"/>
    </row>
    <row r="5332" ht="15" customHeight="1">
      <c r="A5332" t="inlineStr">
        <is>
          <t>A 23462-2023</t>
        </is>
      </c>
      <c r="B5332" s="1" t="n">
        <v>45076</v>
      </c>
      <c r="C5332" s="1" t="n">
        <v>45211</v>
      </c>
      <c r="D5332" t="inlineStr">
        <is>
          <t>ÖSTERGÖTLANDS LÄN</t>
        </is>
      </c>
      <c r="E5332" t="inlineStr">
        <is>
          <t>NORRKÖPING</t>
        </is>
      </c>
      <c r="F5332" t="inlineStr">
        <is>
          <t>Holmen skog AB</t>
        </is>
      </c>
      <c r="G5332" t="n">
        <v>2.6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s="2" t="inlineStr"/>
    </row>
    <row r="5333" ht="15" customHeight="1">
      <c r="A5333" t="inlineStr">
        <is>
          <t>A 23444-2023</t>
        </is>
      </c>
      <c r="B5333" s="1" t="n">
        <v>45076</v>
      </c>
      <c r="C5333" s="1" t="n">
        <v>45211</v>
      </c>
      <c r="D5333" t="inlineStr">
        <is>
          <t>ÖSTERGÖTLANDS LÄN</t>
        </is>
      </c>
      <c r="E5333" t="inlineStr">
        <is>
          <t>NORRKÖPING</t>
        </is>
      </c>
      <c r="F5333" t="inlineStr">
        <is>
          <t>Holmen skog AB</t>
        </is>
      </c>
      <c r="G5333" t="n">
        <v>3.1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s="2" t="inlineStr"/>
    </row>
    <row r="5334" ht="15" customHeight="1">
      <c r="A5334" t="inlineStr">
        <is>
          <t>A 23567-2023</t>
        </is>
      </c>
      <c r="B5334" s="1" t="n">
        <v>45077</v>
      </c>
      <c r="C5334" s="1" t="n">
        <v>45211</v>
      </c>
      <c r="D5334" t="inlineStr">
        <is>
          <t>ÖSTERGÖTLANDS LÄN</t>
        </is>
      </c>
      <c r="E5334" t="inlineStr">
        <is>
          <t>NORRKÖPING</t>
        </is>
      </c>
      <c r="F5334" t="inlineStr">
        <is>
          <t>Holmen skog AB</t>
        </is>
      </c>
      <c r="G5334" t="n">
        <v>3.7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s="2" t="inlineStr"/>
    </row>
    <row r="5335" ht="15" customHeight="1">
      <c r="A5335" t="inlineStr">
        <is>
          <t>A 23588-2023</t>
        </is>
      </c>
      <c r="B5335" s="1" t="n">
        <v>45077</v>
      </c>
      <c r="C5335" s="1" t="n">
        <v>45211</v>
      </c>
      <c r="D5335" t="inlineStr">
        <is>
          <t>ÖSTERGÖTLANDS LÄN</t>
        </is>
      </c>
      <c r="E5335" t="inlineStr">
        <is>
          <t>YDRE</t>
        </is>
      </c>
      <c r="G5335" t="n">
        <v>3.8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s="2" t="inlineStr"/>
    </row>
    <row r="5336" ht="15" customHeight="1">
      <c r="A5336" t="inlineStr">
        <is>
          <t>A 23597-2023</t>
        </is>
      </c>
      <c r="B5336" s="1" t="n">
        <v>45077</v>
      </c>
      <c r="C5336" s="1" t="n">
        <v>45211</v>
      </c>
      <c r="D5336" t="inlineStr">
        <is>
          <t>ÖSTERGÖTLANDS LÄN</t>
        </is>
      </c>
      <c r="E5336" t="inlineStr">
        <is>
          <t>YDRE</t>
        </is>
      </c>
      <c r="G5336" t="n">
        <v>5.2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s="2" t="inlineStr"/>
    </row>
    <row r="5337" ht="15" customHeight="1">
      <c r="A5337" t="inlineStr">
        <is>
          <t>A 23677-2023</t>
        </is>
      </c>
      <c r="B5337" s="1" t="n">
        <v>45077</v>
      </c>
      <c r="C5337" s="1" t="n">
        <v>45211</v>
      </c>
      <c r="D5337" t="inlineStr">
        <is>
          <t>ÖSTERGÖTLANDS LÄN</t>
        </is>
      </c>
      <c r="E5337" t="inlineStr">
        <is>
          <t>VADSTENA</t>
        </is>
      </c>
      <c r="G5337" t="n">
        <v>0.6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s="2" t="inlineStr"/>
    </row>
    <row r="5338" ht="15" customHeight="1">
      <c r="A5338" t="inlineStr">
        <is>
          <t>A 24525-2023</t>
        </is>
      </c>
      <c r="B5338" s="1" t="n">
        <v>45077</v>
      </c>
      <c r="C5338" s="1" t="n">
        <v>45211</v>
      </c>
      <c r="D5338" t="inlineStr">
        <is>
          <t>ÖSTERGÖTLANDS LÄN</t>
        </is>
      </c>
      <c r="E5338" t="inlineStr">
        <is>
          <t>YDRE</t>
        </is>
      </c>
      <c r="G5338" t="n">
        <v>0.8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s="2" t="inlineStr"/>
    </row>
    <row r="5339" ht="15" customHeight="1">
      <c r="A5339" t="inlineStr">
        <is>
          <t>A 23589-2023</t>
        </is>
      </c>
      <c r="B5339" s="1" t="n">
        <v>45077</v>
      </c>
      <c r="C5339" s="1" t="n">
        <v>45211</v>
      </c>
      <c r="D5339" t="inlineStr">
        <is>
          <t>ÖSTERGÖTLANDS LÄN</t>
        </is>
      </c>
      <c r="E5339" t="inlineStr">
        <is>
          <t>YDRE</t>
        </is>
      </c>
      <c r="G5339" t="n">
        <v>5.6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s="2" t="inlineStr"/>
    </row>
    <row r="5340" ht="15" customHeight="1">
      <c r="A5340" t="inlineStr">
        <is>
          <t>A 23614-2023</t>
        </is>
      </c>
      <c r="B5340" s="1" t="n">
        <v>45077</v>
      </c>
      <c r="C5340" s="1" t="n">
        <v>45211</v>
      </c>
      <c r="D5340" t="inlineStr">
        <is>
          <t>ÖSTERGÖTLANDS LÄN</t>
        </is>
      </c>
      <c r="E5340" t="inlineStr">
        <is>
          <t>NORRKÖPING</t>
        </is>
      </c>
      <c r="G5340" t="n">
        <v>1.6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s="2" t="inlineStr"/>
    </row>
    <row r="5341" ht="15" customHeight="1">
      <c r="A5341" t="inlineStr">
        <is>
          <t>A 23630-2023</t>
        </is>
      </c>
      <c r="B5341" s="1" t="n">
        <v>45077</v>
      </c>
      <c r="C5341" s="1" t="n">
        <v>45211</v>
      </c>
      <c r="D5341" t="inlineStr">
        <is>
          <t>ÖSTERGÖTLANDS LÄN</t>
        </is>
      </c>
      <c r="E5341" t="inlineStr">
        <is>
          <t>NORRKÖPING</t>
        </is>
      </c>
      <c r="G5341" t="n">
        <v>0.7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s="2" t="inlineStr"/>
    </row>
    <row r="5342" ht="15" customHeight="1">
      <c r="A5342" t="inlineStr">
        <is>
          <t>A 23642-2023</t>
        </is>
      </c>
      <c r="B5342" s="1" t="n">
        <v>45077</v>
      </c>
      <c r="C5342" s="1" t="n">
        <v>45211</v>
      </c>
      <c r="D5342" t="inlineStr">
        <is>
          <t>ÖSTERGÖTLANDS LÄN</t>
        </is>
      </c>
      <c r="E5342" t="inlineStr">
        <is>
          <t>ÅTVIDABERG</t>
        </is>
      </c>
      <c r="G5342" t="n">
        <v>0.9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s="2" t="inlineStr"/>
    </row>
    <row r="5343" ht="15" customHeight="1">
      <c r="A5343" t="inlineStr">
        <is>
          <t>A 23672-2023</t>
        </is>
      </c>
      <c r="B5343" s="1" t="n">
        <v>45077</v>
      </c>
      <c r="C5343" s="1" t="n">
        <v>45211</v>
      </c>
      <c r="D5343" t="inlineStr">
        <is>
          <t>ÖSTERGÖTLANDS LÄN</t>
        </is>
      </c>
      <c r="E5343" t="inlineStr">
        <is>
          <t>VADSTENA</t>
        </is>
      </c>
      <c r="G5343" t="n">
        <v>1.7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s="2" t="inlineStr"/>
    </row>
    <row r="5344" ht="15" customHeight="1">
      <c r="A5344" t="inlineStr">
        <is>
          <t>A 23678-2023</t>
        </is>
      </c>
      <c r="B5344" s="1" t="n">
        <v>45077</v>
      </c>
      <c r="C5344" s="1" t="n">
        <v>45211</v>
      </c>
      <c r="D5344" t="inlineStr">
        <is>
          <t>ÖSTERGÖTLANDS LÄN</t>
        </is>
      </c>
      <c r="E5344" t="inlineStr">
        <is>
          <t>VADSTENA</t>
        </is>
      </c>
      <c r="G5344" t="n">
        <v>1.4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s="2" t="inlineStr"/>
    </row>
    <row r="5345" ht="15" customHeight="1">
      <c r="A5345" t="inlineStr">
        <is>
          <t>A 23724-2023</t>
        </is>
      </c>
      <c r="B5345" s="1" t="n">
        <v>45077</v>
      </c>
      <c r="C5345" s="1" t="n">
        <v>45211</v>
      </c>
      <c r="D5345" t="inlineStr">
        <is>
          <t>ÖSTERGÖTLANDS LÄN</t>
        </is>
      </c>
      <c r="E5345" t="inlineStr">
        <is>
          <t>FINSPÅNG</t>
        </is>
      </c>
      <c r="F5345" t="inlineStr">
        <is>
          <t>Holmen skog AB</t>
        </is>
      </c>
      <c r="G5345" t="n">
        <v>2.6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s="2" t="inlineStr"/>
    </row>
    <row r="5346" ht="15" customHeight="1">
      <c r="A5346" t="inlineStr">
        <is>
          <t>A 23735-2023</t>
        </is>
      </c>
      <c r="B5346" s="1" t="n">
        <v>45077</v>
      </c>
      <c r="C5346" s="1" t="n">
        <v>45211</v>
      </c>
      <c r="D5346" t="inlineStr">
        <is>
          <t>ÖSTERGÖTLANDS LÄN</t>
        </is>
      </c>
      <c r="E5346" t="inlineStr">
        <is>
          <t>LINKÖPING</t>
        </is>
      </c>
      <c r="G5346" t="n">
        <v>1.7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s="2" t="inlineStr"/>
    </row>
    <row r="5347" ht="15" customHeight="1">
      <c r="A5347" t="inlineStr">
        <is>
          <t>A 23745-2023</t>
        </is>
      </c>
      <c r="B5347" s="1" t="n">
        <v>45077</v>
      </c>
      <c r="C5347" s="1" t="n">
        <v>45211</v>
      </c>
      <c r="D5347" t="inlineStr">
        <is>
          <t>ÖSTERGÖTLANDS LÄN</t>
        </is>
      </c>
      <c r="E5347" t="inlineStr">
        <is>
          <t>SÖDERKÖPING</t>
        </is>
      </c>
      <c r="G5347" t="n">
        <v>7.1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s="2" t="inlineStr"/>
    </row>
    <row r="5348" ht="15" customHeight="1">
      <c r="A5348" t="inlineStr">
        <is>
          <t>A 24529-2023</t>
        </is>
      </c>
      <c r="B5348" s="1" t="n">
        <v>45077</v>
      </c>
      <c r="C5348" s="1" t="n">
        <v>45211</v>
      </c>
      <c r="D5348" t="inlineStr">
        <is>
          <t>ÖSTERGÖTLANDS LÄN</t>
        </is>
      </c>
      <c r="E5348" t="inlineStr">
        <is>
          <t>YDRE</t>
        </is>
      </c>
      <c r="G5348" t="n">
        <v>1.9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s="2" t="inlineStr"/>
    </row>
    <row r="5349" ht="15" customHeight="1">
      <c r="A5349" t="inlineStr">
        <is>
          <t>A 23626-2023</t>
        </is>
      </c>
      <c r="B5349" s="1" t="n">
        <v>45077</v>
      </c>
      <c r="C5349" s="1" t="n">
        <v>45211</v>
      </c>
      <c r="D5349" t="inlineStr">
        <is>
          <t>ÖSTERGÖTLANDS LÄN</t>
        </is>
      </c>
      <c r="E5349" t="inlineStr">
        <is>
          <t>FINSPÅNG</t>
        </is>
      </c>
      <c r="F5349" t="inlineStr">
        <is>
          <t>Holmen skog AB</t>
        </is>
      </c>
      <c r="G5349" t="n">
        <v>3.4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s="2" t="inlineStr"/>
    </row>
    <row r="5350" ht="15" customHeight="1">
      <c r="A5350" t="inlineStr">
        <is>
          <t>A 23675-2023</t>
        </is>
      </c>
      <c r="B5350" s="1" t="n">
        <v>45077</v>
      </c>
      <c r="C5350" s="1" t="n">
        <v>45211</v>
      </c>
      <c r="D5350" t="inlineStr">
        <is>
          <t>ÖSTERGÖTLANDS LÄN</t>
        </is>
      </c>
      <c r="E5350" t="inlineStr">
        <is>
          <t>VADSTENA</t>
        </is>
      </c>
      <c r="G5350" t="n">
        <v>1.7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s="2" t="inlineStr"/>
    </row>
    <row r="5351" ht="15" customHeight="1">
      <c r="A5351" t="inlineStr">
        <is>
          <t>A 23564-2023</t>
        </is>
      </c>
      <c r="B5351" s="1" t="n">
        <v>45077</v>
      </c>
      <c r="C5351" s="1" t="n">
        <v>45211</v>
      </c>
      <c r="D5351" t="inlineStr">
        <is>
          <t>ÖSTERGÖTLANDS LÄN</t>
        </is>
      </c>
      <c r="E5351" t="inlineStr">
        <is>
          <t>KINDA</t>
        </is>
      </c>
      <c r="G5351" t="n">
        <v>2.9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s="2" t="inlineStr"/>
    </row>
    <row r="5352" ht="15" customHeight="1">
      <c r="A5352" t="inlineStr">
        <is>
          <t>A 23582-2023</t>
        </is>
      </c>
      <c r="B5352" s="1" t="n">
        <v>45077</v>
      </c>
      <c r="C5352" s="1" t="n">
        <v>45211</v>
      </c>
      <c r="D5352" t="inlineStr">
        <is>
          <t>ÖSTERGÖTLANDS LÄN</t>
        </is>
      </c>
      <c r="E5352" t="inlineStr">
        <is>
          <t>YDRE</t>
        </is>
      </c>
      <c r="G5352" t="n">
        <v>1.4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s="2" t="inlineStr"/>
    </row>
    <row r="5353" ht="15" customHeight="1">
      <c r="A5353" t="inlineStr">
        <is>
          <t>A 24530-2023</t>
        </is>
      </c>
      <c r="B5353" s="1" t="n">
        <v>45077</v>
      </c>
      <c r="C5353" s="1" t="n">
        <v>45211</v>
      </c>
      <c r="D5353" t="inlineStr">
        <is>
          <t>ÖSTERGÖTLANDS LÄN</t>
        </is>
      </c>
      <c r="E5353" t="inlineStr">
        <is>
          <t>YDRE</t>
        </is>
      </c>
      <c r="G5353" t="n">
        <v>3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s="2" t="inlineStr"/>
    </row>
    <row r="5354" ht="15" customHeight="1">
      <c r="A5354" t="inlineStr">
        <is>
          <t>A 24730-2023</t>
        </is>
      </c>
      <c r="B5354" s="1" t="n">
        <v>45078</v>
      </c>
      <c r="C5354" s="1" t="n">
        <v>45211</v>
      </c>
      <c r="D5354" t="inlineStr">
        <is>
          <t>ÖSTERGÖTLANDS LÄN</t>
        </is>
      </c>
      <c r="E5354" t="inlineStr">
        <is>
          <t>KINDA</t>
        </is>
      </c>
      <c r="G5354" t="n">
        <v>5.1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s="2" t="inlineStr"/>
    </row>
    <row r="5355" ht="15" customHeight="1">
      <c r="A5355" t="inlineStr">
        <is>
          <t>A 24748-2023</t>
        </is>
      </c>
      <c r="B5355" s="1" t="n">
        <v>45078</v>
      </c>
      <c r="C5355" s="1" t="n">
        <v>45211</v>
      </c>
      <c r="D5355" t="inlineStr">
        <is>
          <t>ÖSTERGÖTLANDS LÄN</t>
        </is>
      </c>
      <c r="E5355" t="inlineStr">
        <is>
          <t>KINDA</t>
        </is>
      </c>
      <c r="G5355" t="n">
        <v>0.6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s="2" t="inlineStr"/>
    </row>
    <row r="5356" ht="15" customHeight="1">
      <c r="A5356" t="inlineStr">
        <is>
          <t>A 23821-2023</t>
        </is>
      </c>
      <c r="B5356" s="1" t="n">
        <v>45078</v>
      </c>
      <c r="C5356" s="1" t="n">
        <v>45211</v>
      </c>
      <c r="D5356" t="inlineStr">
        <is>
          <t>ÖSTERGÖTLANDS LÄN</t>
        </is>
      </c>
      <c r="E5356" t="inlineStr">
        <is>
          <t>FINSPÅNG</t>
        </is>
      </c>
      <c r="G5356" t="n">
        <v>3.2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s="2" t="inlineStr"/>
    </row>
    <row r="5357" ht="15" customHeight="1">
      <c r="A5357" t="inlineStr">
        <is>
          <t>A 23885-2023</t>
        </is>
      </c>
      <c r="B5357" s="1" t="n">
        <v>45078</v>
      </c>
      <c r="C5357" s="1" t="n">
        <v>45211</v>
      </c>
      <c r="D5357" t="inlineStr">
        <is>
          <t>ÖSTERGÖTLANDS LÄN</t>
        </is>
      </c>
      <c r="E5357" t="inlineStr">
        <is>
          <t>KINDA</t>
        </is>
      </c>
      <c r="G5357" t="n">
        <v>9.5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s="2" t="inlineStr"/>
    </row>
    <row r="5358" ht="15" customHeight="1">
      <c r="A5358" t="inlineStr">
        <is>
          <t>A 24750-2023</t>
        </is>
      </c>
      <c r="B5358" s="1" t="n">
        <v>45078</v>
      </c>
      <c r="C5358" s="1" t="n">
        <v>45211</v>
      </c>
      <c r="D5358" t="inlineStr">
        <is>
          <t>ÖSTERGÖTLANDS LÄN</t>
        </is>
      </c>
      <c r="E5358" t="inlineStr">
        <is>
          <t>KINDA</t>
        </is>
      </c>
      <c r="G5358" t="n">
        <v>1.9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s="2" t="inlineStr"/>
    </row>
    <row r="5359" ht="15" customHeight="1">
      <c r="A5359" t="inlineStr">
        <is>
          <t>A 24711-2023</t>
        </is>
      </c>
      <c r="B5359" s="1" t="n">
        <v>45078</v>
      </c>
      <c r="C5359" s="1" t="n">
        <v>45211</v>
      </c>
      <c r="D5359" t="inlineStr">
        <is>
          <t>ÖSTERGÖTLANDS LÄN</t>
        </is>
      </c>
      <c r="E5359" t="inlineStr">
        <is>
          <t>KINDA</t>
        </is>
      </c>
      <c r="G5359" t="n">
        <v>0.6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s="2" t="inlineStr"/>
    </row>
    <row r="5360" ht="15" customHeight="1">
      <c r="A5360" t="inlineStr">
        <is>
          <t>A 24742-2023</t>
        </is>
      </c>
      <c r="B5360" s="1" t="n">
        <v>45078</v>
      </c>
      <c r="C5360" s="1" t="n">
        <v>45211</v>
      </c>
      <c r="D5360" t="inlineStr">
        <is>
          <t>ÖSTERGÖTLANDS LÄN</t>
        </is>
      </c>
      <c r="E5360" t="inlineStr">
        <is>
          <t>KINDA</t>
        </is>
      </c>
      <c r="G5360" t="n">
        <v>1.3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s="2" t="inlineStr"/>
    </row>
    <row r="5361" ht="15" customHeight="1">
      <c r="A5361" t="inlineStr">
        <is>
          <t>A 23892-2023</t>
        </is>
      </c>
      <c r="B5361" s="1" t="n">
        <v>45078</v>
      </c>
      <c r="C5361" s="1" t="n">
        <v>45211</v>
      </c>
      <c r="D5361" t="inlineStr">
        <is>
          <t>ÖSTERGÖTLANDS LÄN</t>
        </is>
      </c>
      <c r="E5361" t="inlineStr">
        <is>
          <t>KINDA</t>
        </is>
      </c>
      <c r="F5361" t="inlineStr">
        <is>
          <t>Sveaskog</t>
        </is>
      </c>
      <c r="G5361" t="n">
        <v>0.7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s="2" t="inlineStr"/>
    </row>
    <row r="5362" ht="15" customHeight="1">
      <c r="A5362" t="inlineStr">
        <is>
          <t>A 23897-2023</t>
        </is>
      </c>
      <c r="B5362" s="1" t="n">
        <v>45078</v>
      </c>
      <c r="C5362" s="1" t="n">
        <v>45211</v>
      </c>
      <c r="D5362" t="inlineStr">
        <is>
          <t>ÖSTERGÖTLANDS LÄN</t>
        </is>
      </c>
      <c r="E5362" t="inlineStr">
        <is>
          <t>KINDA</t>
        </is>
      </c>
      <c r="F5362" t="inlineStr">
        <is>
          <t>Sveaskog</t>
        </is>
      </c>
      <c r="G5362" t="n">
        <v>1.2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s="2" t="inlineStr"/>
    </row>
    <row r="5363" ht="15" customHeight="1">
      <c r="A5363" t="inlineStr">
        <is>
          <t>A 24717-2023</t>
        </is>
      </c>
      <c r="B5363" s="1" t="n">
        <v>45078</v>
      </c>
      <c r="C5363" s="1" t="n">
        <v>45211</v>
      </c>
      <c r="D5363" t="inlineStr">
        <is>
          <t>ÖSTERGÖTLANDS LÄN</t>
        </is>
      </c>
      <c r="E5363" t="inlineStr">
        <is>
          <t>KINDA</t>
        </is>
      </c>
      <c r="G5363" t="n">
        <v>7.1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s="2" t="inlineStr"/>
    </row>
    <row r="5364" ht="15" customHeight="1">
      <c r="A5364" t="inlineStr">
        <is>
          <t>A 24746-2023</t>
        </is>
      </c>
      <c r="B5364" s="1" t="n">
        <v>45078</v>
      </c>
      <c r="C5364" s="1" t="n">
        <v>45211</v>
      </c>
      <c r="D5364" t="inlineStr">
        <is>
          <t>ÖSTERGÖTLANDS LÄN</t>
        </is>
      </c>
      <c r="E5364" t="inlineStr">
        <is>
          <t>KINDA</t>
        </is>
      </c>
      <c r="G5364" t="n">
        <v>3.6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s="2" t="inlineStr"/>
    </row>
    <row r="5365" ht="15" customHeight="1">
      <c r="A5365" t="inlineStr">
        <is>
          <t>A 24265-2023</t>
        </is>
      </c>
      <c r="B5365" s="1" t="n">
        <v>45079</v>
      </c>
      <c r="C5365" s="1" t="n">
        <v>45211</v>
      </c>
      <c r="D5365" t="inlineStr">
        <is>
          <t>ÖSTERGÖTLANDS LÄN</t>
        </is>
      </c>
      <c r="E5365" t="inlineStr">
        <is>
          <t>FINSPÅNG</t>
        </is>
      </c>
      <c r="F5365" t="inlineStr">
        <is>
          <t>Holmen skog AB</t>
        </is>
      </c>
      <c r="G5365" t="n">
        <v>2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s="2" t="inlineStr"/>
    </row>
    <row r="5366" ht="15" customHeight="1">
      <c r="A5366" t="inlineStr">
        <is>
          <t>A 24124-2023</t>
        </is>
      </c>
      <c r="B5366" s="1" t="n">
        <v>45079</v>
      </c>
      <c r="C5366" s="1" t="n">
        <v>45211</v>
      </c>
      <c r="D5366" t="inlineStr">
        <is>
          <t>ÖSTERGÖTLANDS LÄN</t>
        </is>
      </c>
      <c r="E5366" t="inlineStr">
        <is>
          <t>MOTALA</t>
        </is>
      </c>
      <c r="G5366" t="n">
        <v>3.2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s="2" t="inlineStr"/>
    </row>
    <row r="5367" ht="15" customHeight="1">
      <c r="A5367" t="inlineStr">
        <is>
          <t>A 24162-2023</t>
        </is>
      </c>
      <c r="B5367" s="1" t="n">
        <v>45079</v>
      </c>
      <c r="C5367" s="1" t="n">
        <v>45211</v>
      </c>
      <c r="D5367" t="inlineStr">
        <is>
          <t>ÖSTERGÖTLANDS LÄN</t>
        </is>
      </c>
      <c r="E5367" t="inlineStr">
        <is>
          <t>ÅTVIDABERG</t>
        </is>
      </c>
      <c r="G5367" t="n">
        <v>1.4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s="2" t="inlineStr"/>
    </row>
    <row r="5368" ht="15" customHeight="1">
      <c r="A5368" t="inlineStr">
        <is>
          <t>A 24122-2023</t>
        </is>
      </c>
      <c r="B5368" s="1" t="n">
        <v>45079</v>
      </c>
      <c r="C5368" s="1" t="n">
        <v>45211</v>
      </c>
      <c r="D5368" t="inlineStr">
        <is>
          <t>ÖSTERGÖTLANDS LÄN</t>
        </is>
      </c>
      <c r="E5368" t="inlineStr">
        <is>
          <t>BOXHOLM</t>
        </is>
      </c>
      <c r="G5368" t="n">
        <v>3.7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s="2" t="inlineStr"/>
    </row>
    <row r="5369" ht="15" customHeight="1">
      <c r="A5369" t="inlineStr">
        <is>
          <t>A 24090-2023</t>
        </is>
      </c>
      <c r="B5369" s="1" t="n">
        <v>45079</v>
      </c>
      <c r="C5369" s="1" t="n">
        <v>45211</v>
      </c>
      <c r="D5369" t="inlineStr">
        <is>
          <t>ÖSTERGÖTLANDS LÄN</t>
        </is>
      </c>
      <c r="E5369" t="inlineStr">
        <is>
          <t>MOTALA</t>
        </is>
      </c>
      <c r="G5369" t="n">
        <v>0.6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s="2" t="inlineStr"/>
    </row>
    <row r="5370" ht="15" customHeight="1">
      <c r="A5370" t="inlineStr">
        <is>
          <t>A 24319-2023</t>
        </is>
      </c>
      <c r="B5370" s="1" t="n">
        <v>45080</v>
      </c>
      <c r="C5370" s="1" t="n">
        <v>45211</v>
      </c>
      <c r="D5370" t="inlineStr">
        <is>
          <t>ÖSTERGÖTLANDS LÄN</t>
        </is>
      </c>
      <c r="E5370" t="inlineStr">
        <is>
          <t>SÖDERKÖPING</t>
        </is>
      </c>
      <c r="G5370" t="n">
        <v>6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s="2" t="inlineStr"/>
    </row>
    <row r="5371" ht="15" customHeight="1">
      <c r="A5371" t="inlineStr">
        <is>
          <t>A 24442-2023</t>
        </is>
      </c>
      <c r="B5371" s="1" t="n">
        <v>45082</v>
      </c>
      <c r="C5371" s="1" t="n">
        <v>45211</v>
      </c>
      <c r="D5371" t="inlineStr">
        <is>
          <t>ÖSTERGÖTLANDS LÄN</t>
        </is>
      </c>
      <c r="E5371" t="inlineStr">
        <is>
          <t>MOTALA</t>
        </is>
      </c>
      <c r="G5371" t="n">
        <v>4.7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s="2" t="inlineStr"/>
    </row>
    <row r="5372" ht="15" customHeight="1">
      <c r="A5372" t="inlineStr">
        <is>
          <t>A 25484-2023</t>
        </is>
      </c>
      <c r="B5372" s="1" t="n">
        <v>45082</v>
      </c>
      <c r="C5372" s="1" t="n">
        <v>45211</v>
      </c>
      <c r="D5372" t="inlineStr">
        <is>
          <t>ÖSTERGÖTLANDS LÄN</t>
        </is>
      </c>
      <c r="E5372" t="inlineStr">
        <is>
          <t>KINDA</t>
        </is>
      </c>
      <c r="G5372" t="n">
        <v>2.8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s="2" t="inlineStr"/>
    </row>
    <row r="5373" ht="15" customHeight="1">
      <c r="A5373" t="inlineStr">
        <is>
          <t>A 24467-2023</t>
        </is>
      </c>
      <c r="B5373" s="1" t="n">
        <v>45082</v>
      </c>
      <c r="C5373" s="1" t="n">
        <v>45211</v>
      </c>
      <c r="D5373" t="inlineStr">
        <is>
          <t>ÖSTERGÖTLANDS LÄN</t>
        </is>
      </c>
      <c r="E5373" t="inlineStr">
        <is>
          <t>LINKÖPING</t>
        </is>
      </c>
      <c r="G5373" t="n">
        <v>2.4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s="2" t="inlineStr"/>
    </row>
    <row r="5374" ht="15" customHeight="1">
      <c r="A5374" t="inlineStr">
        <is>
          <t>A 25490-2023</t>
        </is>
      </c>
      <c r="B5374" s="1" t="n">
        <v>45082</v>
      </c>
      <c r="C5374" s="1" t="n">
        <v>45211</v>
      </c>
      <c r="D5374" t="inlineStr">
        <is>
          <t>ÖSTERGÖTLANDS LÄN</t>
        </is>
      </c>
      <c r="E5374" t="inlineStr">
        <is>
          <t>KINDA</t>
        </is>
      </c>
      <c r="G5374" t="n">
        <v>2.2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s="2" t="inlineStr"/>
    </row>
    <row r="5375" ht="15" customHeight="1">
      <c r="A5375" t="inlineStr">
        <is>
          <t>A 24404-2023</t>
        </is>
      </c>
      <c r="B5375" s="1" t="n">
        <v>45082</v>
      </c>
      <c r="C5375" s="1" t="n">
        <v>45211</v>
      </c>
      <c r="D5375" t="inlineStr">
        <is>
          <t>ÖSTERGÖTLANDS LÄN</t>
        </is>
      </c>
      <c r="E5375" t="inlineStr">
        <is>
          <t>FINSPÅNG</t>
        </is>
      </c>
      <c r="F5375" t="inlineStr">
        <is>
          <t>Holmen skog AB</t>
        </is>
      </c>
      <c r="G5375" t="n">
        <v>12.4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s="2" t="inlineStr"/>
    </row>
    <row r="5376" ht="15" customHeight="1">
      <c r="A5376" t="inlineStr">
        <is>
          <t>A 24462-2023</t>
        </is>
      </c>
      <c r="B5376" s="1" t="n">
        <v>45082</v>
      </c>
      <c r="C5376" s="1" t="n">
        <v>45211</v>
      </c>
      <c r="D5376" t="inlineStr">
        <is>
          <t>ÖSTERGÖTLANDS LÄN</t>
        </is>
      </c>
      <c r="E5376" t="inlineStr">
        <is>
          <t>LINKÖPING</t>
        </is>
      </c>
      <c r="G5376" t="n">
        <v>3.5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s="2" t="inlineStr"/>
    </row>
    <row r="5377" ht="15" customHeight="1">
      <c r="A5377" t="inlineStr">
        <is>
          <t>A 25469-2023</t>
        </is>
      </c>
      <c r="B5377" s="1" t="n">
        <v>45082</v>
      </c>
      <c r="C5377" s="1" t="n">
        <v>45211</v>
      </c>
      <c r="D5377" t="inlineStr">
        <is>
          <t>ÖSTERGÖTLANDS LÄN</t>
        </is>
      </c>
      <c r="E5377" t="inlineStr">
        <is>
          <t>KINDA</t>
        </is>
      </c>
      <c r="G5377" t="n">
        <v>1.6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s="2" t="inlineStr"/>
    </row>
    <row r="5378" ht="15" customHeight="1">
      <c r="A5378" t="inlineStr">
        <is>
          <t>A 25500-2023</t>
        </is>
      </c>
      <c r="B5378" s="1" t="n">
        <v>45082</v>
      </c>
      <c r="C5378" s="1" t="n">
        <v>45211</v>
      </c>
      <c r="D5378" t="inlineStr">
        <is>
          <t>ÖSTERGÖTLANDS LÄN</t>
        </is>
      </c>
      <c r="E5378" t="inlineStr">
        <is>
          <t>KINDA</t>
        </is>
      </c>
      <c r="G5378" t="n">
        <v>8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s="2" t="inlineStr"/>
    </row>
    <row r="5379" ht="15" customHeight="1">
      <c r="A5379" t="inlineStr">
        <is>
          <t>A 24500-2023</t>
        </is>
      </c>
      <c r="B5379" s="1" t="n">
        <v>45082</v>
      </c>
      <c r="C5379" s="1" t="n">
        <v>45211</v>
      </c>
      <c r="D5379" t="inlineStr">
        <is>
          <t>ÖSTERGÖTLANDS LÄN</t>
        </is>
      </c>
      <c r="E5379" t="inlineStr">
        <is>
          <t>FINSPÅNG</t>
        </is>
      </c>
      <c r="F5379" t="inlineStr">
        <is>
          <t>Holmen skog AB</t>
        </is>
      </c>
      <c r="G5379" t="n">
        <v>4.2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s="2" t="inlineStr"/>
    </row>
    <row r="5380" ht="15" customHeight="1">
      <c r="A5380" t="inlineStr">
        <is>
          <t>A 25493-2023</t>
        </is>
      </c>
      <c r="B5380" s="1" t="n">
        <v>45082</v>
      </c>
      <c r="C5380" s="1" t="n">
        <v>45211</v>
      </c>
      <c r="D5380" t="inlineStr">
        <is>
          <t>ÖSTERGÖTLANDS LÄN</t>
        </is>
      </c>
      <c r="E5380" t="inlineStr">
        <is>
          <t>KINDA</t>
        </is>
      </c>
      <c r="G5380" t="n">
        <v>3.7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s="2" t="inlineStr"/>
    </row>
    <row r="5381" ht="15" customHeight="1">
      <c r="A5381" t="inlineStr">
        <is>
          <t>A 24716-2023</t>
        </is>
      </c>
      <c r="B5381" s="1" t="n">
        <v>45084</v>
      </c>
      <c r="C5381" s="1" t="n">
        <v>45211</v>
      </c>
      <c r="D5381" t="inlineStr">
        <is>
          <t>ÖSTERGÖTLANDS LÄN</t>
        </is>
      </c>
      <c r="E5381" t="inlineStr">
        <is>
          <t>ÅTVIDABERG</t>
        </is>
      </c>
      <c r="F5381" t="inlineStr">
        <is>
          <t>Övriga Aktiebolag</t>
        </is>
      </c>
      <c r="G5381" t="n">
        <v>4.6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s="2" t="inlineStr"/>
    </row>
    <row r="5382" ht="15" customHeight="1">
      <c r="A5382" t="inlineStr">
        <is>
          <t>A 24752-2023</t>
        </is>
      </c>
      <c r="B5382" s="1" t="n">
        <v>45084</v>
      </c>
      <c r="C5382" s="1" t="n">
        <v>45211</v>
      </c>
      <c r="D5382" t="inlineStr">
        <is>
          <t>ÖSTERGÖTLANDS LÄN</t>
        </is>
      </c>
      <c r="E5382" t="inlineStr">
        <is>
          <t>MOTALA</t>
        </is>
      </c>
      <c r="G5382" t="n">
        <v>7.8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s="2" t="inlineStr"/>
    </row>
    <row r="5383" ht="15" customHeight="1">
      <c r="A5383" t="inlineStr">
        <is>
          <t>A 24806-2023</t>
        </is>
      </c>
      <c r="B5383" s="1" t="n">
        <v>45084</v>
      </c>
      <c r="C5383" s="1" t="n">
        <v>45211</v>
      </c>
      <c r="D5383" t="inlineStr">
        <is>
          <t>ÖSTERGÖTLANDS LÄN</t>
        </is>
      </c>
      <c r="E5383" t="inlineStr">
        <is>
          <t>FINSPÅNG</t>
        </is>
      </c>
      <c r="G5383" t="n">
        <v>0.8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s="2" t="inlineStr"/>
    </row>
    <row r="5384" ht="15" customHeight="1">
      <c r="A5384" t="inlineStr">
        <is>
          <t>A 25729-2023</t>
        </is>
      </c>
      <c r="B5384" s="1" t="n">
        <v>45084</v>
      </c>
      <c r="C5384" s="1" t="n">
        <v>45211</v>
      </c>
      <c r="D5384" t="inlineStr">
        <is>
          <t>ÖSTERGÖTLANDS LÄN</t>
        </is>
      </c>
      <c r="E5384" t="inlineStr">
        <is>
          <t>ÖDESHÖG</t>
        </is>
      </c>
      <c r="G5384" t="n">
        <v>2.3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s="2" t="inlineStr"/>
    </row>
    <row r="5385" ht="15" customHeight="1">
      <c r="A5385" t="inlineStr">
        <is>
          <t>A 24658-2023</t>
        </is>
      </c>
      <c r="B5385" s="1" t="n">
        <v>45084</v>
      </c>
      <c r="C5385" s="1" t="n">
        <v>45211</v>
      </c>
      <c r="D5385" t="inlineStr">
        <is>
          <t>ÖSTERGÖTLANDS LÄN</t>
        </is>
      </c>
      <c r="E5385" t="inlineStr">
        <is>
          <t>KINDA</t>
        </is>
      </c>
      <c r="G5385" t="n">
        <v>1.7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s="2" t="inlineStr"/>
    </row>
    <row r="5386" ht="15" customHeight="1">
      <c r="A5386" t="inlineStr">
        <is>
          <t>A 24757-2023</t>
        </is>
      </c>
      <c r="B5386" s="1" t="n">
        <v>45084</v>
      </c>
      <c r="C5386" s="1" t="n">
        <v>45211</v>
      </c>
      <c r="D5386" t="inlineStr">
        <is>
          <t>ÖSTERGÖTLANDS LÄN</t>
        </is>
      </c>
      <c r="E5386" t="inlineStr">
        <is>
          <t>VALDEMARSVIK</t>
        </is>
      </c>
      <c r="G5386" t="n">
        <v>2.2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s="2" t="inlineStr"/>
    </row>
    <row r="5387" ht="15" customHeight="1">
      <c r="A5387" t="inlineStr">
        <is>
          <t>A 24800-2023</t>
        </is>
      </c>
      <c r="B5387" s="1" t="n">
        <v>45084</v>
      </c>
      <c r="C5387" s="1" t="n">
        <v>45211</v>
      </c>
      <c r="D5387" t="inlineStr">
        <is>
          <t>ÖSTERGÖTLANDS LÄN</t>
        </is>
      </c>
      <c r="E5387" t="inlineStr">
        <is>
          <t>LINKÖPING</t>
        </is>
      </c>
      <c r="F5387" t="inlineStr">
        <is>
          <t>Övriga Aktiebolag</t>
        </is>
      </c>
      <c r="G5387" t="n">
        <v>0.8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s="2" t="inlineStr"/>
    </row>
    <row r="5388" ht="15" customHeight="1">
      <c r="A5388" t="inlineStr">
        <is>
          <t>A 24903-2023</t>
        </is>
      </c>
      <c r="B5388" s="1" t="n">
        <v>45085</v>
      </c>
      <c r="C5388" s="1" t="n">
        <v>45211</v>
      </c>
      <c r="D5388" t="inlineStr">
        <is>
          <t>ÖSTERGÖTLANDS LÄN</t>
        </is>
      </c>
      <c r="E5388" t="inlineStr">
        <is>
          <t>KINDA</t>
        </is>
      </c>
      <c r="G5388" t="n">
        <v>1.8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s="2" t="inlineStr"/>
    </row>
    <row r="5389" ht="15" customHeight="1">
      <c r="A5389" t="inlineStr">
        <is>
          <t>A 24983-2023</t>
        </is>
      </c>
      <c r="B5389" s="1" t="n">
        <v>45085</v>
      </c>
      <c r="C5389" s="1" t="n">
        <v>45211</v>
      </c>
      <c r="D5389" t="inlineStr">
        <is>
          <t>ÖSTERGÖTLANDS LÄN</t>
        </is>
      </c>
      <c r="E5389" t="inlineStr">
        <is>
          <t>YDRE</t>
        </is>
      </c>
      <c r="G5389" t="n">
        <v>0.8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s="2" t="inlineStr"/>
    </row>
    <row r="5390" ht="15" customHeight="1">
      <c r="A5390" t="inlineStr">
        <is>
          <t>A 25291-2023</t>
        </is>
      </c>
      <c r="B5390" s="1" t="n">
        <v>45086</v>
      </c>
      <c r="C5390" s="1" t="n">
        <v>45211</v>
      </c>
      <c r="D5390" t="inlineStr">
        <is>
          <t>ÖSTERGÖTLANDS LÄN</t>
        </is>
      </c>
      <c r="E5390" t="inlineStr">
        <is>
          <t>NORRKÖPING</t>
        </is>
      </c>
      <c r="F5390" t="inlineStr">
        <is>
          <t>Allmännings- och besparingsskogar</t>
        </is>
      </c>
      <c r="G5390" t="n">
        <v>2.1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s="2" t="inlineStr"/>
    </row>
    <row r="5391" ht="15" customHeight="1">
      <c r="A5391" t="inlineStr">
        <is>
          <t>A 25193-2023</t>
        </is>
      </c>
      <c r="B5391" s="1" t="n">
        <v>45086</v>
      </c>
      <c r="C5391" s="1" t="n">
        <v>45211</v>
      </c>
      <c r="D5391" t="inlineStr">
        <is>
          <t>ÖSTERGÖTLANDS LÄN</t>
        </is>
      </c>
      <c r="E5391" t="inlineStr">
        <is>
          <t>FINSPÅNG</t>
        </is>
      </c>
      <c r="G5391" t="n">
        <v>4.6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s="2" t="inlineStr"/>
    </row>
    <row r="5392" ht="15" customHeight="1">
      <c r="A5392" t="inlineStr">
        <is>
          <t>A 25274-2023</t>
        </is>
      </c>
      <c r="B5392" s="1" t="n">
        <v>45086</v>
      </c>
      <c r="C5392" s="1" t="n">
        <v>45211</v>
      </c>
      <c r="D5392" t="inlineStr">
        <is>
          <t>ÖSTERGÖTLANDS LÄN</t>
        </is>
      </c>
      <c r="E5392" t="inlineStr">
        <is>
          <t>BOXHOLM</t>
        </is>
      </c>
      <c r="G5392" t="n">
        <v>3.1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s="2" t="inlineStr"/>
    </row>
    <row r="5393" ht="15" customHeight="1">
      <c r="A5393" t="inlineStr">
        <is>
          <t>A 25097-2023</t>
        </is>
      </c>
      <c r="B5393" s="1" t="n">
        <v>45086</v>
      </c>
      <c r="C5393" s="1" t="n">
        <v>45211</v>
      </c>
      <c r="D5393" t="inlineStr">
        <is>
          <t>ÖSTERGÖTLANDS LÄN</t>
        </is>
      </c>
      <c r="E5393" t="inlineStr">
        <is>
          <t>LINKÖPING</t>
        </is>
      </c>
      <c r="G5393" t="n">
        <v>1.4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s="2" t="inlineStr"/>
    </row>
    <row r="5394" ht="15" customHeight="1">
      <c r="A5394" t="inlineStr">
        <is>
          <t>A 25093-2023</t>
        </is>
      </c>
      <c r="B5394" s="1" t="n">
        <v>45086</v>
      </c>
      <c r="C5394" s="1" t="n">
        <v>45211</v>
      </c>
      <c r="D5394" t="inlineStr">
        <is>
          <t>ÖSTERGÖTLANDS LÄN</t>
        </is>
      </c>
      <c r="E5394" t="inlineStr">
        <is>
          <t>LINKÖPING</t>
        </is>
      </c>
      <c r="G5394" t="n">
        <v>2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s="2" t="inlineStr"/>
    </row>
    <row r="5395" ht="15" customHeight="1">
      <c r="A5395" t="inlineStr">
        <is>
          <t>A 25196-2023</t>
        </is>
      </c>
      <c r="B5395" s="1" t="n">
        <v>45086</v>
      </c>
      <c r="C5395" s="1" t="n">
        <v>45211</v>
      </c>
      <c r="D5395" t="inlineStr">
        <is>
          <t>ÖSTERGÖTLANDS LÄN</t>
        </is>
      </c>
      <c r="E5395" t="inlineStr">
        <is>
          <t>FINSPÅNG</t>
        </is>
      </c>
      <c r="G5395" t="n">
        <v>4.6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s="2" t="inlineStr"/>
    </row>
    <row r="5396" ht="15" customHeight="1">
      <c r="A5396" t="inlineStr">
        <is>
          <t>A 25226-2023</t>
        </is>
      </c>
      <c r="B5396" s="1" t="n">
        <v>45086</v>
      </c>
      <c r="C5396" s="1" t="n">
        <v>45211</v>
      </c>
      <c r="D5396" t="inlineStr">
        <is>
          <t>ÖSTERGÖTLANDS LÄN</t>
        </is>
      </c>
      <c r="E5396" t="inlineStr">
        <is>
          <t>BOXHOLM</t>
        </is>
      </c>
      <c r="G5396" t="n">
        <v>4.1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s="2" t="inlineStr"/>
    </row>
    <row r="5397" ht="15" customHeight="1">
      <c r="A5397" t="inlineStr">
        <is>
          <t>A 25596-2023</t>
        </is>
      </c>
      <c r="B5397" s="1" t="n">
        <v>45089</v>
      </c>
      <c r="C5397" s="1" t="n">
        <v>45211</v>
      </c>
      <c r="D5397" t="inlineStr">
        <is>
          <t>ÖSTERGÖTLANDS LÄN</t>
        </is>
      </c>
      <c r="E5397" t="inlineStr">
        <is>
          <t>KINDA</t>
        </is>
      </c>
      <c r="G5397" t="n">
        <v>5.9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s="2" t="inlineStr"/>
    </row>
    <row r="5398" ht="15" customHeight="1">
      <c r="A5398" t="inlineStr">
        <is>
          <t>A 25548-2023</t>
        </is>
      </c>
      <c r="B5398" s="1" t="n">
        <v>45089</v>
      </c>
      <c r="C5398" s="1" t="n">
        <v>45211</v>
      </c>
      <c r="D5398" t="inlineStr">
        <is>
          <t>ÖSTERGÖTLANDS LÄN</t>
        </is>
      </c>
      <c r="E5398" t="inlineStr">
        <is>
          <t>ÅTVIDABERG</t>
        </is>
      </c>
      <c r="G5398" t="n">
        <v>18.7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s="2" t="inlineStr"/>
    </row>
    <row r="5399" ht="15" customHeight="1">
      <c r="A5399" t="inlineStr">
        <is>
          <t>A 25556-2023</t>
        </is>
      </c>
      <c r="B5399" s="1" t="n">
        <v>45089</v>
      </c>
      <c r="C5399" s="1" t="n">
        <v>45211</v>
      </c>
      <c r="D5399" t="inlineStr">
        <is>
          <t>ÖSTERGÖTLANDS LÄN</t>
        </is>
      </c>
      <c r="E5399" t="inlineStr">
        <is>
          <t>NORRKÖPING</t>
        </is>
      </c>
      <c r="F5399" t="inlineStr">
        <is>
          <t>Holmen skog AB</t>
        </is>
      </c>
      <c r="G5399" t="n">
        <v>0.7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s="2" t="inlineStr"/>
    </row>
    <row r="5400" ht="15" customHeight="1">
      <c r="A5400" t="inlineStr">
        <is>
          <t>A 26609-2023</t>
        </is>
      </c>
      <c r="B5400" s="1" t="n">
        <v>45089</v>
      </c>
      <c r="C5400" s="1" t="n">
        <v>45211</v>
      </c>
      <c r="D5400" t="inlineStr">
        <is>
          <t>ÖSTERGÖTLANDS LÄN</t>
        </is>
      </c>
      <c r="E5400" t="inlineStr">
        <is>
          <t>KINDA</t>
        </is>
      </c>
      <c r="G5400" t="n">
        <v>2.4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s="2" t="inlineStr"/>
    </row>
    <row r="5401" ht="15" customHeight="1">
      <c r="A5401" t="inlineStr">
        <is>
          <t>A 25418-2023</t>
        </is>
      </c>
      <c r="B5401" s="1" t="n">
        <v>45089</v>
      </c>
      <c r="C5401" s="1" t="n">
        <v>45211</v>
      </c>
      <c r="D5401" t="inlineStr">
        <is>
          <t>ÖSTERGÖTLANDS LÄN</t>
        </is>
      </c>
      <c r="E5401" t="inlineStr">
        <is>
          <t>LINKÖPING</t>
        </is>
      </c>
      <c r="F5401" t="inlineStr">
        <is>
          <t>Övriga Aktiebolag</t>
        </is>
      </c>
      <c r="G5401" t="n">
        <v>2.4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s="2" t="inlineStr"/>
    </row>
    <row r="5402" ht="15" customHeight="1">
      <c r="A5402" t="inlineStr">
        <is>
          <t>A 25948-2023</t>
        </is>
      </c>
      <c r="B5402" s="1" t="n">
        <v>45090</v>
      </c>
      <c r="C5402" s="1" t="n">
        <v>45211</v>
      </c>
      <c r="D5402" t="inlineStr">
        <is>
          <t>ÖSTERGÖTLANDS LÄN</t>
        </is>
      </c>
      <c r="E5402" t="inlineStr">
        <is>
          <t>LINKÖPING</t>
        </is>
      </c>
      <c r="G5402" t="n">
        <v>1.1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s="2" t="inlineStr"/>
    </row>
    <row r="5403" ht="15" customHeight="1">
      <c r="A5403" t="inlineStr">
        <is>
          <t>A 25790-2023</t>
        </is>
      </c>
      <c r="B5403" s="1" t="n">
        <v>45090</v>
      </c>
      <c r="C5403" s="1" t="n">
        <v>45211</v>
      </c>
      <c r="D5403" t="inlineStr">
        <is>
          <t>ÖSTERGÖTLANDS LÄN</t>
        </is>
      </c>
      <c r="E5403" t="inlineStr">
        <is>
          <t>SÖDERKÖPING</t>
        </is>
      </c>
      <c r="G5403" t="n">
        <v>7.9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s="2" t="inlineStr"/>
    </row>
    <row r="5404" ht="15" customHeight="1">
      <c r="A5404" t="inlineStr">
        <is>
          <t>A 25844-2023</t>
        </is>
      </c>
      <c r="B5404" s="1" t="n">
        <v>45090</v>
      </c>
      <c r="C5404" s="1" t="n">
        <v>45211</v>
      </c>
      <c r="D5404" t="inlineStr">
        <is>
          <t>ÖSTERGÖTLANDS LÄN</t>
        </is>
      </c>
      <c r="E5404" t="inlineStr">
        <is>
          <t>YDRE</t>
        </is>
      </c>
      <c r="F5404" t="inlineStr">
        <is>
          <t>Sveaskog</t>
        </is>
      </c>
      <c r="G5404" t="n">
        <v>1.3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s="2" t="inlineStr"/>
    </row>
    <row r="5405" ht="15" customHeight="1">
      <c r="A5405" t="inlineStr">
        <is>
          <t>A 25952-2023</t>
        </is>
      </c>
      <c r="B5405" s="1" t="n">
        <v>45090</v>
      </c>
      <c r="C5405" s="1" t="n">
        <v>45211</v>
      </c>
      <c r="D5405" t="inlineStr">
        <is>
          <t>ÖSTERGÖTLANDS LÄN</t>
        </is>
      </c>
      <c r="E5405" t="inlineStr">
        <is>
          <t>ÅTVIDABERG</t>
        </is>
      </c>
      <c r="G5405" t="n">
        <v>9.5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s="2" t="inlineStr"/>
    </row>
    <row r="5406" ht="15" customHeight="1">
      <c r="A5406" t="inlineStr">
        <is>
          <t>A 26909-2023</t>
        </is>
      </c>
      <c r="B5406" s="1" t="n">
        <v>45090</v>
      </c>
      <c r="C5406" s="1" t="n">
        <v>45211</v>
      </c>
      <c r="D5406" t="inlineStr">
        <is>
          <t>ÖSTERGÖTLANDS LÄN</t>
        </is>
      </c>
      <c r="E5406" t="inlineStr">
        <is>
          <t>ÅTVIDABERG</t>
        </is>
      </c>
      <c r="G5406" t="n">
        <v>0.7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s="2" t="inlineStr"/>
    </row>
    <row r="5407" ht="15" customHeight="1">
      <c r="A5407" t="inlineStr">
        <is>
          <t>A 25841-2023</t>
        </is>
      </c>
      <c r="B5407" s="1" t="n">
        <v>45090</v>
      </c>
      <c r="C5407" s="1" t="n">
        <v>45211</v>
      </c>
      <c r="D5407" t="inlineStr">
        <is>
          <t>ÖSTERGÖTLANDS LÄN</t>
        </is>
      </c>
      <c r="E5407" t="inlineStr">
        <is>
          <t>YDRE</t>
        </is>
      </c>
      <c r="F5407" t="inlineStr">
        <is>
          <t>Sveaskog</t>
        </is>
      </c>
      <c r="G5407" t="n">
        <v>1.6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s="2" t="inlineStr"/>
    </row>
    <row r="5408" ht="15" customHeight="1">
      <c r="A5408" t="inlineStr">
        <is>
          <t>A 25982-2023</t>
        </is>
      </c>
      <c r="B5408" s="1" t="n">
        <v>45090</v>
      </c>
      <c r="C5408" s="1" t="n">
        <v>45211</v>
      </c>
      <c r="D5408" t="inlineStr">
        <is>
          <t>ÖSTERGÖTLANDS LÄN</t>
        </is>
      </c>
      <c r="E5408" t="inlineStr">
        <is>
          <t>NORRKÖPING</t>
        </is>
      </c>
      <c r="F5408" t="inlineStr">
        <is>
          <t>Allmännings- och besparingsskogar</t>
        </is>
      </c>
      <c r="G5408" t="n">
        <v>1.8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s="2" t="inlineStr"/>
    </row>
    <row r="5409" ht="15" customHeight="1">
      <c r="A5409" t="inlineStr">
        <is>
          <t>A 26911-2023</t>
        </is>
      </c>
      <c r="B5409" s="1" t="n">
        <v>45090</v>
      </c>
      <c r="C5409" s="1" t="n">
        <v>45211</v>
      </c>
      <c r="D5409" t="inlineStr">
        <is>
          <t>ÖSTERGÖTLANDS LÄN</t>
        </is>
      </c>
      <c r="E5409" t="inlineStr">
        <is>
          <t>ÅTVIDABERG</t>
        </is>
      </c>
      <c r="G5409" t="n">
        <v>1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s="2" t="inlineStr"/>
    </row>
    <row r="5410" ht="15" customHeight="1">
      <c r="A5410" t="inlineStr">
        <is>
          <t>A 26194-2023</t>
        </is>
      </c>
      <c r="B5410" s="1" t="n">
        <v>45091</v>
      </c>
      <c r="C5410" s="1" t="n">
        <v>45211</v>
      </c>
      <c r="D5410" t="inlineStr">
        <is>
          <t>ÖSTERGÖTLANDS LÄN</t>
        </is>
      </c>
      <c r="E5410" t="inlineStr">
        <is>
          <t>FINSPÅNG</t>
        </is>
      </c>
      <c r="G5410" t="n">
        <v>1.4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s="2" t="inlineStr"/>
    </row>
    <row r="5411" ht="15" customHeight="1">
      <c r="A5411" t="inlineStr">
        <is>
          <t>A 26152-2023</t>
        </is>
      </c>
      <c r="B5411" s="1" t="n">
        <v>45091</v>
      </c>
      <c r="C5411" s="1" t="n">
        <v>45211</v>
      </c>
      <c r="D5411" t="inlineStr">
        <is>
          <t>ÖSTERGÖTLANDS LÄN</t>
        </is>
      </c>
      <c r="E5411" t="inlineStr">
        <is>
          <t>FINSPÅNG</t>
        </is>
      </c>
      <c r="G5411" t="n">
        <v>3.9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s="2" t="inlineStr"/>
    </row>
    <row r="5412" ht="15" customHeight="1">
      <c r="A5412" t="inlineStr">
        <is>
          <t>A 26300-2023</t>
        </is>
      </c>
      <c r="B5412" s="1" t="n">
        <v>45091</v>
      </c>
      <c r="C5412" s="1" t="n">
        <v>45211</v>
      </c>
      <c r="D5412" t="inlineStr">
        <is>
          <t>ÖSTERGÖTLANDS LÄN</t>
        </is>
      </c>
      <c r="E5412" t="inlineStr">
        <is>
          <t>NORRKÖPING</t>
        </is>
      </c>
      <c r="F5412" t="inlineStr">
        <is>
          <t>Holmen skog AB</t>
        </is>
      </c>
      <c r="G5412" t="n">
        <v>2.5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s="2" t="inlineStr"/>
    </row>
    <row r="5413" ht="15" customHeight="1">
      <c r="A5413" t="inlineStr">
        <is>
          <t>A 26136-2023</t>
        </is>
      </c>
      <c r="B5413" s="1" t="n">
        <v>45091</v>
      </c>
      <c r="C5413" s="1" t="n">
        <v>45211</v>
      </c>
      <c r="D5413" t="inlineStr">
        <is>
          <t>ÖSTERGÖTLANDS LÄN</t>
        </is>
      </c>
      <c r="E5413" t="inlineStr">
        <is>
          <t>NORRKÖPING</t>
        </is>
      </c>
      <c r="F5413" t="inlineStr">
        <is>
          <t>Holmen skog AB</t>
        </is>
      </c>
      <c r="G5413" t="n">
        <v>1.4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s="2" t="inlineStr"/>
    </row>
    <row r="5414" ht="15" customHeight="1">
      <c r="A5414" t="inlineStr">
        <is>
          <t>A 26977-2023</t>
        </is>
      </c>
      <c r="B5414" s="1" t="n">
        <v>45091</v>
      </c>
      <c r="C5414" s="1" t="n">
        <v>45211</v>
      </c>
      <c r="D5414" t="inlineStr">
        <is>
          <t>ÖSTERGÖTLANDS LÄN</t>
        </is>
      </c>
      <c r="E5414" t="inlineStr">
        <is>
          <t>NORRKÖPING</t>
        </is>
      </c>
      <c r="F5414" t="inlineStr">
        <is>
          <t>Allmännings- och besparingsskogar</t>
        </is>
      </c>
      <c r="G5414" t="n">
        <v>7.4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s="2" t="inlineStr"/>
    </row>
    <row r="5415" ht="15" customHeight="1">
      <c r="A5415" t="inlineStr">
        <is>
          <t>A 26388-2023</t>
        </is>
      </c>
      <c r="B5415" s="1" t="n">
        <v>45092</v>
      </c>
      <c r="C5415" s="1" t="n">
        <v>45211</v>
      </c>
      <c r="D5415" t="inlineStr">
        <is>
          <t>ÖSTERGÖTLANDS LÄN</t>
        </is>
      </c>
      <c r="E5415" t="inlineStr">
        <is>
          <t>NORRKÖPING</t>
        </is>
      </c>
      <c r="G5415" t="n">
        <v>1.9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s="2" t="inlineStr"/>
    </row>
    <row r="5416" ht="15" customHeight="1">
      <c r="A5416" t="inlineStr">
        <is>
          <t>A 26596-2023</t>
        </is>
      </c>
      <c r="B5416" s="1" t="n">
        <v>45092</v>
      </c>
      <c r="C5416" s="1" t="n">
        <v>45211</v>
      </c>
      <c r="D5416" t="inlineStr">
        <is>
          <t>ÖSTERGÖTLANDS LÄN</t>
        </is>
      </c>
      <c r="E5416" t="inlineStr">
        <is>
          <t>SÖDERKÖPING</t>
        </is>
      </c>
      <c r="G5416" t="n">
        <v>6.3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s="2" t="inlineStr"/>
    </row>
    <row r="5417" ht="15" customHeight="1">
      <c r="A5417" t="inlineStr">
        <is>
          <t>A 26638-2023</t>
        </is>
      </c>
      <c r="B5417" s="1" t="n">
        <v>45092</v>
      </c>
      <c r="C5417" s="1" t="n">
        <v>45211</v>
      </c>
      <c r="D5417" t="inlineStr">
        <is>
          <t>ÖSTERGÖTLANDS LÄN</t>
        </is>
      </c>
      <c r="E5417" t="inlineStr">
        <is>
          <t>BOXHOLM</t>
        </is>
      </c>
      <c r="F5417" t="inlineStr">
        <is>
          <t>Allmännings- och besparingsskogar</t>
        </is>
      </c>
      <c r="G5417" t="n">
        <v>8.4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s="2" t="inlineStr"/>
    </row>
    <row r="5418" ht="15" customHeight="1">
      <c r="A5418" t="inlineStr">
        <is>
          <t>A 27220-2023</t>
        </is>
      </c>
      <c r="B5418" s="1" t="n">
        <v>45092</v>
      </c>
      <c r="C5418" s="1" t="n">
        <v>45211</v>
      </c>
      <c r="D5418" t="inlineStr">
        <is>
          <t>ÖSTERGÖTLANDS LÄN</t>
        </is>
      </c>
      <c r="E5418" t="inlineStr">
        <is>
          <t>MOTALA</t>
        </is>
      </c>
      <c r="F5418" t="inlineStr">
        <is>
          <t>Övriga statliga verk och myndigheter</t>
        </is>
      </c>
      <c r="G5418" t="n">
        <v>1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s="2" t="inlineStr"/>
    </row>
    <row r="5419" ht="15" customHeight="1">
      <c r="A5419" t="inlineStr">
        <is>
          <t>A 27250-2023</t>
        </is>
      </c>
      <c r="B5419" s="1" t="n">
        <v>45092</v>
      </c>
      <c r="C5419" s="1" t="n">
        <v>45211</v>
      </c>
      <c r="D5419" t="inlineStr">
        <is>
          <t>ÖSTERGÖTLANDS LÄN</t>
        </is>
      </c>
      <c r="E5419" t="inlineStr">
        <is>
          <t>MOTALA</t>
        </is>
      </c>
      <c r="F5419" t="inlineStr">
        <is>
          <t>Övriga statliga verk och myndigheter</t>
        </is>
      </c>
      <c r="G5419" t="n">
        <v>6.8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s="2" t="inlineStr"/>
    </row>
    <row r="5420" ht="15" customHeight="1">
      <c r="A5420" t="inlineStr">
        <is>
          <t>A 26404-2023</t>
        </is>
      </c>
      <c r="B5420" s="1" t="n">
        <v>45092</v>
      </c>
      <c r="C5420" s="1" t="n">
        <v>45211</v>
      </c>
      <c r="D5420" t="inlineStr">
        <is>
          <t>ÖSTERGÖTLANDS LÄN</t>
        </is>
      </c>
      <c r="E5420" t="inlineStr">
        <is>
          <t>NORRKÖPING</t>
        </is>
      </c>
      <c r="G5420" t="n">
        <v>5.8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s="2" t="inlineStr"/>
    </row>
    <row r="5421" ht="15" customHeight="1">
      <c r="A5421" t="inlineStr">
        <is>
          <t>A 26592-2023</t>
        </is>
      </c>
      <c r="B5421" s="1" t="n">
        <v>45092</v>
      </c>
      <c r="C5421" s="1" t="n">
        <v>45211</v>
      </c>
      <c r="D5421" t="inlineStr">
        <is>
          <t>ÖSTERGÖTLANDS LÄN</t>
        </is>
      </c>
      <c r="E5421" t="inlineStr">
        <is>
          <t>ÅTVIDABERG</t>
        </is>
      </c>
      <c r="G5421" t="n">
        <v>0.5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s="2" t="inlineStr"/>
    </row>
    <row r="5422" ht="15" customHeight="1">
      <c r="A5422" t="inlineStr">
        <is>
          <t>A 27233-2023</t>
        </is>
      </c>
      <c r="B5422" s="1" t="n">
        <v>45092</v>
      </c>
      <c r="C5422" s="1" t="n">
        <v>45211</v>
      </c>
      <c r="D5422" t="inlineStr">
        <is>
          <t>ÖSTERGÖTLANDS LÄN</t>
        </is>
      </c>
      <c r="E5422" t="inlineStr">
        <is>
          <t>MOTALA</t>
        </is>
      </c>
      <c r="F5422" t="inlineStr">
        <is>
          <t>Övriga statliga verk och myndigheter</t>
        </is>
      </c>
      <c r="G5422" t="n">
        <v>4.6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s="2" t="inlineStr"/>
    </row>
    <row r="5423" ht="15" customHeight="1">
      <c r="A5423" t="inlineStr">
        <is>
          <t>A 26594-2023</t>
        </is>
      </c>
      <c r="B5423" s="1" t="n">
        <v>45092</v>
      </c>
      <c r="C5423" s="1" t="n">
        <v>45211</v>
      </c>
      <c r="D5423" t="inlineStr">
        <is>
          <t>ÖSTERGÖTLANDS LÄN</t>
        </is>
      </c>
      <c r="E5423" t="inlineStr">
        <is>
          <t>SÖDERKÖPING</t>
        </is>
      </c>
      <c r="G5423" t="n">
        <v>5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s="2" t="inlineStr"/>
    </row>
    <row r="5424" ht="15" customHeight="1">
      <c r="A5424" t="inlineStr">
        <is>
          <t>A 26821-2023</t>
        </is>
      </c>
      <c r="B5424" s="1" t="n">
        <v>45093</v>
      </c>
      <c r="C5424" s="1" t="n">
        <v>45211</v>
      </c>
      <c r="D5424" t="inlineStr">
        <is>
          <t>ÖSTERGÖTLANDS LÄN</t>
        </is>
      </c>
      <c r="E5424" t="inlineStr">
        <is>
          <t>VALDEMARSVIK</t>
        </is>
      </c>
      <c r="G5424" t="n">
        <v>1.7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s="2" t="inlineStr"/>
    </row>
    <row r="5425" ht="15" customHeight="1">
      <c r="A5425" t="inlineStr">
        <is>
          <t>A 26915-2023</t>
        </is>
      </c>
      <c r="B5425" s="1" t="n">
        <v>45093</v>
      </c>
      <c r="C5425" s="1" t="n">
        <v>45211</v>
      </c>
      <c r="D5425" t="inlineStr">
        <is>
          <t>ÖSTERGÖTLANDS LÄN</t>
        </is>
      </c>
      <c r="E5425" t="inlineStr">
        <is>
          <t>SÖDERKÖPING</t>
        </is>
      </c>
      <c r="G5425" t="n">
        <v>5.7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s="2" t="inlineStr"/>
    </row>
    <row r="5426" ht="15" customHeight="1">
      <c r="A5426" t="inlineStr">
        <is>
          <t>A 26928-2023</t>
        </is>
      </c>
      <c r="B5426" s="1" t="n">
        <v>45093</v>
      </c>
      <c r="C5426" s="1" t="n">
        <v>45211</v>
      </c>
      <c r="D5426" t="inlineStr">
        <is>
          <t>ÖSTERGÖTLANDS LÄN</t>
        </is>
      </c>
      <c r="E5426" t="inlineStr">
        <is>
          <t>KINDA</t>
        </is>
      </c>
      <c r="G5426" t="n">
        <v>2.2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s="2" t="inlineStr"/>
    </row>
    <row r="5427" ht="15" customHeight="1">
      <c r="A5427" t="inlineStr">
        <is>
          <t>A 27586-2023</t>
        </is>
      </c>
      <c r="B5427" s="1" t="n">
        <v>45093</v>
      </c>
      <c r="C5427" s="1" t="n">
        <v>45211</v>
      </c>
      <c r="D5427" t="inlineStr">
        <is>
          <t>ÖSTERGÖTLANDS LÄN</t>
        </is>
      </c>
      <c r="E5427" t="inlineStr">
        <is>
          <t>NORRKÖPING</t>
        </is>
      </c>
      <c r="F5427" t="inlineStr">
        <is>
          <t>Allmännings- och besparingsskogar</t>
        </is>
      </c>
      <c r="G5427" t="n">
        <v>5.5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s="2" t="inlineStr"/>
    </row>
    <row r="5428" ht="15" customHeight="1">
      <c r="A5428" t="inlineStr">
        <is>
          <t>A 26678-2023</t>
        </is>
      </c>
      <c r="B5428" s="1" t="n">
        <v>45093</v>
      </c>
      <c r="C5428" s="1" t="n">
        <v>45211</v>
      </c>
      <c r="D5428" t="inlineStr">
        <is>
          <t>ÖSTERGÖTLANDS LÄN</t>
        </is>
      </c>
      <c r="E5428" t="inlineStr">
        <is>
          <t>VALDEMARSVIK</t>
        </is>
      </c>
      <c r="G5428" t="n">
        <v>2.1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s="2" t="inlineStr"/>
    </row>
    <row r="5429" ht="15" customHeight="1">
      <c r="A5429" t="inlineStr">
        <is>
          <t>A 26811-2023</t>
        </is>
      </c>
      <c r="B5429" s="1" t="n">
        <v>45093</v>
      </c>
      <c r="C5429" s="1" t="n">
        <v>45211</v>
      </c>
      <c r="D5429" t="inlineStr">
        <is>
          <t>ÖSTERGÖTLANDS LÄN</t>
        </is>
      </c>
      <c r="E5429" t="inlineStr">
        <is>
          <t>VALDEMARSVIK</t>
        </is>
      </c>
      <c r="G5429" t="n">
        <v>4.4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s="2" t="inlineStr"/>
    </row>
    <row r="5430" ht="15" customHeight="1">
      <c r="A5430" t="inlineStr">
        <is>
          <t>A 26820-2023</t>
        </is>
      </c>
      <c r="B5430" s="1" t="n">
        <v>45093</v>
      </c>
      <c r="C5430" s="1" t="n">
        <v>45211</v>
      </c>
      <c r="D5430" t="inlineStr">
        <is>
          <t>ÖSTERGÖTLANDS LÄN</t>
        </is>
      </c>
      <c r="E5430" t="inlineStr">
        <is>
          <t>VALDEMARSVIK</t>
        </is>
      </c>
      <c r="G5430" t="n">
        <v>2.9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s="2" t="inlineStr"/>
    </row>
    <row r="5431" ht="15" customHeight="1">
      <c r="A5431" t="inlineStr">
        <is>
          <t>A 26832-2023</t>
        </is>
      </c>
      <c r="B5431" s="1" t="n">
        <v>45093</v>
      </c>
      <c r="C5431" s="1" t="n">
        <v>45211</v>
      </c>
      <c r="D5431" t="inlineStr">
        <is>
          <t>ÖSTERGÖTLANDS LÄN</t>
        </is>
      </c>
      <c r="E5431" t="inlineStr">
        <is>
          <t>NORRKÖPING</t>
        </is>
      </c>
      <c r="G5431" t="n">
        <v>0.8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s="2" t="inlineStr"/>
    </row>
    <row r="5432" ht="15" customHeight="1">
      <c r="A5432" t="inlineStr">
        <is>
          <t>A 26845-2023</t>
        </is>
      </c>
      <c r="B5432" s="1" t="n">
        <v>45093</v>
      </c>
      <c r="C5432" s="1" t="n">
        <v>45211</v>
      </c>
      <c r="D5432" t="inlineStr">
        <is>
          <t>ÖSTERGÖTLANDS LÄN</t>
        </is>
      </c>
      <c r="E5432" t="inlineStr">
        <is>
          <t>NORRKÖPING</t>
        </is>
      </c>
      <c r="F5432" t="inlineStr">
        <is>
          <t>Holmen skog AB</t>
        </is>
      </c>
      <c r="G5432" t="n">
        <v>1.5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s="2" t="inlineStr"/>
    </row>
    <row r="5433" ht="15" customHeight="1">
      <c r="A5433" t="inlineStr">
        <is>
          <t>A 26889-2023</t>
        </is>
      </c>
      <c r="B5433" s="1" t="n">
        <v>45093</v>
      </c>
      <c r="C5433" s="1" t="n">
        <v>45211</v>
      </c>
      <c r="D5433" t="inlineStr">
        <is>
          <t>ÖSTERGÖTLANDS LÄN</t>
        </is>
      </c>
      <c r="E5433" t="inlineStr">
        <is>
          <t>YDRE</t>
        </is>
      </c>
      <c r="F5433" t="inlineStr">
        <is>
          <t>Övriga Aktiebolag</t>
        </is>
      </c>
      <c r="G5433" t="n">
        <v>1.2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s="2" t="inlineStr"/>
    </row>
    <row r="5434" ht="15" customHeight="1">
      <c r="A5434" t="inlineStr">
        <is>
          <t>A 26912-2023</t>
        </is>
      </c>
      <c r="B5434" s="1" t="n">
        <v>45093</v>
      </c>
      <c r="C5434" s="1" t="n">
        <v>45211</v>
      </c>
      <c r="D5434" t="inlineStr">
        <is>
          <t>ÖSTERGÖTLANDS LÄN</t>
        </is>
      </c>
      <c r="E5434" t="inlineStr">
        <is>
          <t>SÖDERKÖPING</t>
        </is>
      </c>
      <c r="G5434" t="n">
        <v>1.1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s="2" t="inlineStr"/>
    </row>
    <row r="5435" ht="15" customHeight="1">
      <c r="A5435" t="inlineStr">
        <is>
          <t>A 26934-2023</t>
        </is>
      </c>
      <c r="B5435" s="1" t="n">
        <v>45093</v>
      </c>
      <c r="C5435" s="1" t="n">
        <v>45211</v>
      </c>
      <c r="D5435" t="inlineStr">
        <is>
          <t>ÖSTERGÖTLANDS LÄN</t>
        </is>
      </c>
      <c r="E5435" t="inlineStr">
        <is>
          <t>VALDEMARSVIK</t>
        </is>
      </c>
      <c r="G5435" t="n">
        <v>1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s="2" t="inlineStr"/>
    </row>
    <row r="5436" ht="15" customHeight="1">
      <c r="A5436" t="inlineStr">
        <is>
          <t>A 26942-2023</t>
        </is>
      </c>
      <c r="B5436" s="1" t="n">
        <v>45093</v>
      </c>
      <c r="C5436" s="1" t="n">
        <v>45211</v>
      </c>
      <c r="D5436" t="inlineStr">
        <is>
          <t>ÖSTERGÖTLANDS LÄN</t>
        </is>
      </c>
      <c r="E5436" t="inlineStr">
        <is>
          <t>VALDEMARSVIK</t>
        </is>
      </c>
      <c r="G5436" t="n">
        <v>3.5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s="2" t="inlineStr"/>
    </row>
    <row r="5437" ht="15" customHeight="1">
      <c r="A5437" t="inlineStr">
        <is>
          <t>A 27579-2023</t>
        </is>
      </c>
      <c r="B5437" s="1" t="n">
        <v>45093</v>
      </c>
      <c r="C5437" s="1" t="n">
        <v>45211</v>
      </c>
      <c r="D5437" t="inlineStr">
        <is>
          <t>ÖSTERGÖTLANDS LÄN</t>
        </is>
      </c>
      <c r="E5437" t="inlineStr">
        <is>
          <t>NORRKÖPING</t>
        </is>
      </c>
      <c r="F5437" t="inlineStr">
        <is>
          <t>Allmännings- och besparingsskogar</t>
        </is>
      </c>
      <c r="G5437" t="n">
        <v>5.4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s="2" t="inlineStr"/>
    </row>
    <row r="5438" ht="15" customHeight="1">
      <c r="A5438" t="inlineStr">
        <is>
          <t>A 26809-2023</t>
        </is>
      </c>
      <c r="B5438" s="1" t="n">
        <v>45093</v>
      </c>
      <c r="C5438" s="1" t="n">
        <v>45211</v>
      </c>
      <c r="D5438" t="inlineStr">
        <is>
          <t>ÖSTERGÖTLANDS LÄN</t>
        </is>
      </c>
      <c r="E5438" t="inlineStr">
        <is>
          <t>KINDA</t>
        </is>
      </c>
      <c r="G5438" t="n">
        <v>2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s="2" t="inlineStr"/>
    </row>
    <row r="5439" ht="15" customHeight="1">
      <c r="A5439" t="inlineStr">
        <is>
          <t>A 26857-2023</t>
        </is>
      </c>
      <c r="B5439" s="1" t="n">
        <v>45093</v>
      </c>
      <c r="C5439" s="1" t="n">
        <v>45211</v>
      </c>
      <c r="D5439" t="inlineStr">
        <is>
          <t>ÖSTERGÖTLANDS LÄN</t>
        </is>
      </c>
      <c r="E5439" t="inlineStr">
        <is>
          <t>NORRKÖPING</t>
        </is>
      </c>
      <c r="F5439" t="inlineStr">
        <is>
          <t>Holmen skog AB</t>
        </is>
      </c>
      <c r="G5439" t="n">
        <v>0.6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s="2" t="inlineStr"/>
    </row>
    <row r="5440" ht="15" customHeight="1">
      <c r="A5440" t="inlineStr">
        <is>
          <t>A 26968-2023</t>
        </is>
      </c>
      <c r="B5440" s="1" t="n">
        <v>45093</v>
      </c>
      <c r="C5440" s="1" t="n">
        <v>45211</v>
      </c>
      <c r="D5440" t="inlineStr">
        <is>
          <t>ÖSTERGÖTLANDS LÄN</t>
        </is>
      </c>
      <c r="E5440" t="inlineStr">
        <is>
          <t>VALDEMARSVIK</t>
        </is>
      </c>
      <c r="G5440" t="n">
        <v>2.3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s="2" t="inlineStr"/>
    </row>
    <row r="5441" ht="15" customHeight="1">
      <c r="A5441" t="inlineStr">
        <is>
          <t>A 26866-2023</t>
        </is>
      </c>
      <c r="B5441" s="1" t="n">
        <v>45093</v>
      </c>
      <c r="C5441" s="1" t="n">
        <v>45211</v>
      </c>
      <c r="D5441" t="inlineStr">
        <is>
          <t>ÖSTERGÖTLANDS LÄN</t>
        </is>
      </c>
      <c r="E5441" t="inlineStr">
        <is>
          <t>NORRKÖPING</t>
        </is>
      </c>
      <c r="G5441" t="n">
        <v>1.1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s="2" t="inlineStr"/>
    </row>
    <row r="5442" ht="15" customHeight="1">
      <c r="A5442" t="inlineStr">
        <is>
          <t>A 26875-2023</t>
        </is>
      </c>
      <c r="B5442" s="1" t="n">
        <v>45093</v>
      </c>
      <c r="C5442" s="1" t="n">
        <v>45211</v>
      </c>
      <c r="D5442" t="inlineStr">
        <is>
          <t>ÖSTERGÖTLANDS LÄN</t>
        </is>
      </c>
      <c r="E5442" t="inlineStr">
        <is>
          <t>LINKÖPING</t>
        </is>
      </c>
      <c r="G5442" t="n">
        <v>0.9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s="2" t="inlineStr"/>
    </row>
    <row r="5443" ht="15" customHeight="1">
      <c r="A5443" t="inlineStr">
        <is>
          <t>A 26933-2023</t>
        </is>
      </c>
      <c r="B5443" s="1" t="n">
        <v>45093</v>
      </c>
      <c r="C5443" s="1" t="n">
        <v>45211</v>
      </c>
      <c r="D5443" t="inlineStr">
        <is>
          <t>ÖSTERGÖTLANDS LÄN</t>
        </is>
      </c>
      <c r="E5443" t="inlineStr">
        <is>
          <t>VALDEMARSVIK</t>
        </is>
      </c>
      <c r="G5443" t="n">
        <v>3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s="2" t="inlineStr"/>
    </row>
    <row r="5444" ht="15" customHeight="1">
      <c r="A5444" t="inlineStr">
        <is>
          <t>A 26939-2023</t>
        </is>
      </c>
      <c r="B5444" s="1" t="n">
        <v>45093</v>
      </c>
      <c r="C5444" s="1" t="n">
        <v>45211</v>
      </c>
      <c r="D5444" t="inlineStr">
        <is>
          <t>ÖSTERGÖTLANDS LÄN</t>
        </is>
      </c>
      <c r="E5444" t="inlineStr">
        <is>
          <t>VALDEMARSVIK</t>
        </is>
      </c>
      <c r="G5444" t="n">
        <v>0.8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s="2" t="inlineStr"/>
    </row>
    <row r="5445" ht="15" customHeight="1">
      <c r="A5445" t="inlineStr">
        <is>
          <t>A 26973-2023</t>
        </is>
      </c>
      <c r="B5445" s="1" t="n">
        <v>45093</v>
      </c>
      <c r="C5445" s="1" t="n">
        <v>45211</v>
      </c>
      <c r="D5445" t="inlineStr">
        <is>
          <t>ÖSTERGÖTLANDS LÄN</t>
        </is>
      </c>
      <c r="E5445" t="inlineStr">
        <is>
          <t>FINSPÅNG</t>
        </is>
      </c>
      <c r="F5445" t="inlineStr">
        <is>
          <t>Naturvårdsverket</t>
        </is>
      </c>
      <c r="G5445" t="n">
        <v>0.7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s="2" t="inlineStr"/>
    </row>
    <row r="5446" ht="15" customHeight="1">
      <c r="A5446" t="inlineStr">
        <is>
          <t>A 27501-2023</t>
        </is>
      </c>
      <c r="B5446" s="1" t="n">
        <v>45095</v>
      </c>
      <c r="C5446" s="1" t="n">
        <v>45211</v>
      </c>
      <c r="D5446" t="inlineStr">
        <is>
          <t>ÖSTERGÖTLANDS LÄN</t>
        </is>
      </c>
      <c r="E5446" t="inlineStr">
        <is>
          <t>FINSPÅNG</t>
        </is>
      </c>
      <c r="F5446" t="inlineStr">
        <is>
          <t>Övriga Aktiebolag</t>
        </is>
      </c>
      <c r="G5446" t="n">
        <v>0.7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s="2" t="inlineStr"/>
    </row>
    <row r="5447" ht="15" customHeight="1">
      <c r="A5447" t="inlineStr">
        <is>
          <t>A 27892-2023</t>
        </is>
      </c>
      <c r="B5447" s="1" t="n">
        <v>45095</v>
      </c>
      <c r="C5447" s="1" t="n">
        <v>45211</v>
      </c>
      <c r="D5447" t="inlineStr">
        <is>
          <t>ÖSTERGÖTLANDS LÄN</t>
        </is>
      </c>
      <c r="E5447" t="inlineStr">
        <is>
          <t>FINSPÅNG</t>
        </is>
      </c>
      <c r="G5447" t="n">
        <v>0.8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s="2" t="inlineStr"/>
    </row>
    <row r="5448" ht="15" customHeight="1">
      <c r="A5448" t="inlineStr">
        <is>
          <t>A 27697-2023</t>
        </is>
      </c>
      <c r="B5448" s="1" t="n">
        <v>45095</v>
      </c>
      <c r="C5448" s="1" t="n">
        <v>45211</v>
      </c>
      <c r="D5448" t="inlineStr">
        <is>
          <t>ÖSTERGÖTLANDS LÄN</t>
        </is>
      </c>
      <c r="E5448" t="inlineStr">
        <is>
          <t>FINSPÅNG</t>
        </is>
      </c>
      <c r="F5448" t="inlineStr">
        <is>
          <t>Övriga Aktiebolag</t>
        </is>
      </c>
      <c r="G5448" t="n">
        <v>1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s="2" t="inlineStr"/>
    </row>
    <row r="5449" ht="15" customHeight="1">
      <c r="A5449" t="inlineStr">
        <is>
          <t>A 28020-2023</t>
        </is>
      </c>
      <c r="B5449" s="1" t="n">
        <v>45095</v>
      </c>
      <c r="C5449" s="1" t="n">
        <v>45211</v>
      </c>
      <c r="D5449" t="inlineStr">
        <is>
          <t>ÖSTERGÖTLANDS LÄN</t>
        </is>
      </c>
      <c r="E5449" t="inlineStr">
        <is>
          <t>FINSPÅNG</t>
        </is>
      </c>
      <c r="G5449" t="n">
        <v>0.7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s="2" t="inlineStr"/>
    </row>
    <row r="5450" ht="15" customHeight="1">
      <c r="A5450" t="inlineStr">
        <is>
          <t>A 27698-2023</t>
        </is>
      </c>
      <c r="B5450" s="1" t="n">
        <v>45095</v>
      </c>
      <c r="C5450" s="1" t="n">
        <v>45211</v>
      </c>
      <c r="D5450" t="inlineStr">
        <is>
          <t>ÖSTERGÖTLANDS LÄN</t>
        </is>
      </c>
      <c r="E5450" t="inlineStr">
        <is>
          <t>FINSPÅNG</t>
        </is>
      </c>
      <c r="G5450" t="n">
        <v>1.2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s="2" t="inlineStr"/>
    </row>
    <row r="5451" ht="15" customHeight="1">
      <c r="A5451" t="inlineStr">
        <is>
          <t>A 28024-2023</t>
        </is>
      </c>
      <c r="B5451" s="1" t="n">
        <v>45095</v>
      </c>
      <c r="C5451" s="1" t="n">
        <v>45211</v>
      </c>
      <c r="D5451" t="inlineStr">
        <is>
          <t>ÖSTERGÖTLANDS LÄN</t>
        </is>
      </c>
      <c r="E5451" t="inlineStr">
        <is>
          <t>FINSPÅNG</t>
        </is>
      </c>
      <c r="G5451" t="n">
        <v>3.2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s="2" t="inlineStr"/>
    </row>
    <row r="5452" ht="15" customHeight="1">
      <c r="A5452" t="inlineStr">
        <is>
          <t>A 27487-2023</t>
        </is>
      </c>
      <c r="B5452" s="1" t="n">
        <v>45095</v>
      </c>
      <c r="C5452" s="1" t="n">
        <v>45211</v>
      </c>
      <c r="D5452" t="inlineStr">
        <is>
          <t>ÖSTERGÖTLANDS LÄN</t>
        </is>
      </c>
      <c r="E5452" t="inlineStr">
        <is>
          <t>FINSPÅNG</t>
        </is>
      </c>
      <c r="F5452" t="inlineStr">
        <is>
          <t>Övriga Aktiebolag</t>
        </is>
      </c>
      <c r="G5452" t="n">
        <v>0.6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s="2" t="inlineStr"/>
    </row>
    <row r="5453" ht="15" customHeight="1">
      <c r="A5453" t="inlineStr">
        <is>
          <t>A 27699-2023</t>
        </is>
      </c>
      <c r="B5453" s="1" t="n">
        <v>45095</v>
      </c>
      <c r="C5453" s="1" t="n">
        <v>45211</v>
      </c>
      <c r="D5453" t="inlineStr">
        <is>
          <t>ÖSTERGÖTLANDS LÄN</t>
        </is>
      </c>
      <c r="E5453" t="inlineStr">
        <is>
          <t>FINSPÅNG</t>
        </is>
      </c>
      <c r="G5453" t="n">
        <v>1.6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s="2" t="inlineStr"/>
    </row>
    <row r="5454" ht="15" customHeight="1">
      <c r="A5454" t="inlineStr">
        <is>
          <t>A 27152-2023</t>
        </is>
      </c>
      <c r="B5454" s="1" t="n">
        <v>45096</v>
      </c>
      <c r="C5454" s="1" t="n">
        <v>45211</v>
      </c>
      <c r="D5454" t="inlineStr">
        <is>
          <t>ÖSTERGÖTLANDS LÄN</t>
        </is>
      </c>
      <c r="E5454" t="inlineStr">
        <is>
          <t>NORRKÖPING</t>
        </is>
      </c>
      <c r="F5454" t="inlineStr">
        <is>
          <t>Holmen skog AB</t>
        </is>
      </c>
      <c r="G5454" t="n">
        <v>2.6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s="2" t="inlineStr"/>
    </row>
    <row r="5455" ht="15" customHeight="1">
      <c r="A5455" t="inlineStr">
        <is>
          <t>A 29010-2023</t>
        </is>
      </c>
      <c r="B5455" s="1" t="n">
        <v>45096</v>
      </c>
      <c r="C5455" s="1" t="n">
        <v>45211</v>
      </c>
      <c r="D5455" t="inlineStr">
        <is>
          <t>ÖSTERGÖTLANDS LÄN</t>
        </is>
      </c>
      <c r="E5455" t="inlineStr">
        <is>
          <t>NORRKÖPING</t>
        </is>
      </c>
      <c r="F5455" t="inlineStr">
        <is>
          <t>Allmännings- och besparingsskogar</t>
        </is>
      </c>
      <c r="G5455" t="n">
        <v>12.3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s="2" t="inlineStr"/>
    </row>
    <row r="5456" ht="15" customHeight="1">
      <c r="A5456" t="inlineStr">
        <is>
          <t>A 27164-2023</t>
        </is>
      </c>
      <c r="B5456" s="1" t="n">
        <v>45096</v>
      </c>
      <c r="C5456" s="1" t="n">
        <v>45211</v>
      </c>
      <c r="D5456" t="inlineStr">
        <is>
          <t>ÖSTERGÖTLANDS LÄN</t>
        </is>
      </c>
      <c r="E5456" t="inlineStr">
        <is>
          <t>YDRE</t>
        </is>
      </c>
      <c r="G5456" t="n">
        <v>4.1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s="2" t="inlineStr"/>
    </row>
    <row r="5457" ht="15" customHeight="1">
      <c r="A5457" t="inlineStr">
        <is>
          <t>A 27227-2023</t>
        </is>
      </c>
      <c r="B5457" s="1" t="n">
        <v>45096</v>
      </c>
      <c r="C5457" s="1" t="n">
        <v>45211</v>
      </c>
      <c r="D5457" t="inlineStr">
        <is>
          <t>ÖSTERGÖTLANDS LÄN</t>
        </is>
      </c>
      <c r="E5457" t="inlineStr">
        <is>
          <t>VALDEMARSVIK</t>
        </is>
      </c>
      <c r="G5457" t="n">
        <v>1.1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s="2" t="inlineStr"/>
    </row>
    <row r="5458" ht="15" customHeight="1">
      <c r="A5458" t="inlineStr">
        <is>
          <t>A 27288-2023</t>
        </is>
      </c>
      <c r="B5458" s="1" t="n">
        <v>45096</v>
      </c>
      <c r="C5458" s="1" t="n">
        <v>45211</v>
      </c>
      <c r="D5458" t="inlineStr">
        <is>
          <t>ÖSTERGÖTLANDS LÄN</t>
        </is>
      </c>
      <c r="E5458" t="inlineStr">
        <is>
          <t>NORRKÖPING</t>
        </is>
      </c>
      <c r="F5458" t="inlineStr">
        <is>
          <t>Holmen skog AB</t>
        </is>
      </c>
      <c r="G5458" t="n">
        <v>0.6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s="2" t="inlineStr"/>
    </row>
    <row r="5459" ht="15" customHeight="1">
      <c r="A5459" t="inlineStr">
        <is>
          <t>A 27343-2023</t>
        </is>
      </c>
      <c r="B5459" s="1" t="n">
        <v>45096</v>
      </c>
      <c r="C5459" s="1" t="n">
        <v>45211</v>
      </c>
      <c r="D5459" t="inlineStr">
        <is>
          <t>ÖSTERGÖTLANDS LÄN</t>
        </is>
      </c>
      <c r="E5459" t="inlineStr">
        <is>
          <t>LINKÖPING</t>
        </is>
      </c>
      <c r="F5459" t="inlineStr">
        <is>
          <t>Allmännings- och besparingsskogar</t>
        </is>
      </c>
      <c r="G5459" t="n">
        <v>6.9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s="2" t="inlineStr"/>
    </row>
    <row r="5460" ht="15" customHeight="1">
      <c r="A5460" t="inlineStr">
        <is>
          <t>A 29004-2023</t>
        </is>
      </c>
      <c r="B5460" s="1" t="n">
        <v>45096</v>
      </c>
      <c r="C5460" s="1" t="n">
        <v>45211</v>
      </c>
      <c r="D5460" t="inlineStr">
        <is>
          <t>ÖSTERGÖTLANDS LÄN</t>
        </is>
      </c>
      <c r="E5460" t="inlineStr">
        <is>
          <t>NORRKÖPING</t>
        </is>
      </c>
      <c r="F5460" t="inlineStr">
        <is>
          <t>Allmännings- och besparingsskogar</t>
        </is>
      </c>
      <c r="G5460" t="n">
        <v>15.1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s="2" t="inlineStr"/>
    </row>
    <row r="5461" ht="15" customHeight="1">
      <c r="A5461" t="inlineStr">
        <is>
          <t>A 27060-2023</t>
        </is>
      </c>
      <c r="B5461" s="1" t="n">
        <v>45096</v>
      </c>
      <c r="C5461" s="1" t="n">
        <v>45211</v>
      </c>
      <c r="D5461" t="inlineStr">
        <is>
          <t>ÖSTERGÖTLANDS LÄN</t>
        </is>
      </c>
      <c r="E5461" t="inlineStr">
        <is>
          <t>KINDA</t>
        </is>
      </c>
      <c r="G5461" t="n">
        <v>2.6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s="2" t="inlineStr"/>
    </row>
    <row r="5462" ht="15" customHeight="1">
      <c r="A5462" t="inlineStr">
        <is>
          <t>A 27099-2023</t>
        </is>
      </c>
      <c r="B5462" s="1" t="n">
        <v>45096</v>
      </c>
      <c r="C5462" s="1" t="n">
        <v>45211</v>
      </c>
      <c r="D5462" t="inlineStr">
        <is>
          <t>ÖSTERGÖTLANDS LÄN</t>
        </is>
      </c>
      <c r="E5462" t="inlineStr">
        <is>
          <t>KINDA</t>
        </is>
      </c>
      <c r="G5462" t="n">
        <v>4.2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s="2" t="inlineStr"/>
    </row>
    <row r="5463" ht="15" customHeight="1">
      <c r="A5463" t="inlineStr">
        <is>
          <t>A 27106-2023</t>
        </is>
      </c>
      <c r="B5463" s="1" t="n">
        <v>45096</v>
      </c>
      <c r="C5463" s="1" t="n">
        <v>45211</v>
      </c>
      <c r="D5463" t="inlineStr">
        <is>
          <t>ÖSTERGÖTLANDS LÄN</t>
        </is>
      </c>
      <c r="E5463" t="inlineStr">
        <is>
          <t>FINSPÅNG</t>
        </is>
      </c>
      <c r="F5463" t="inlineStr">
        <is>
          <t>Naturvårdsverket</t>
        </is>
      </c>
      <c r="G5463" t="n">
        <v>4.4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s="2" t="inlineStr"/>
    </row>
    <row r="5464" ht="15" customHeight="1">
      <c r="A5464" t="inlineStr">
        <is>
          <t>A 27159-2023</t>
        </is>
      </c>
      <c r="B5464" s="1" t="n">
        <v>45096</v>
      </c>
      <c r="C5464" s="1" t="n">
        <v>45211</v>
      </c>
      <c r="D5464" t="inlineStr">
        <is>
          <t>ÖSTERGÖTLANDS LÄN</t>
        </is>
      </c>
      <c r="E5464" t="inlineStr">
        <is>
          <t>YDRE</t>
        </is>
      </c>
      <c r="G5464" t="n">
        <v>5.6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s="2" t="inlineStr"/>
    </row>
    <row r="5465" ht="15" customHeight="1">
      <c r="A5465" t="inlineStr">
        <is>
          <t>A 27236-2023</t>
        </is>
      </c>
      <c r="B5465" s="1" t="n">
        <v>45096</v>
      </c>
      <c r="C5465" s="1" t="n">
        <v>45211</v>
      </c>
      <c r="D5465" t="inlineStr">
        <is>
          <t>ÖSTERGÖTLANDS LÄN</t>
        </is>
      </c>
      <c r="E5465" t="inlineStr">
        <is>
          <t>NORRKÖPING</t>
        </is>
      </c>
      <c r="F5465" t="inlineStr">
        <is>
          <t>Holmen skog AB</t>
        </is>
      </c>
      <c r="G5465" t="n">
        <v>1.1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s="2" t="inlineStr"/>
    </row>
    <row r="5466" ht="15" customHeight="1">
      <c r="A5466" t="inlineStr">
        <is>
          <t>A 27523-2023</t>
        </is>
      </c>
      <c r="B5466" s="1" t="n">
        <v>45097</v>
      </c>
      <c r="C5466" s="1" t="n">
        <v>45211</v>
      </c>
      <c r="D5466" t="inlineStr">
        <is>
          <t>ÖSTERGÖTLANDS LÄN</t>
        </is>
      </c>
      <c r="E5466" t="inlineStr">
        <is>
          <t>NORRKÖPING</t>
        </is>
      </c>
      <c r="F5466" t="inlineStr">
        <is>
          <t>Holmen skog AB</t>
        </is>
      </c>
      <c r="G5466" t="n">
        <v>1.2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s="2" t="inlineStr"/>
    </row>
    <row r="5467" ht="15" customHeight="1">
      <c r="A5467" t="inlineStr">
        <is>
          <t>A 27569-2023</t>
        </is>
      </c>
      <c r="B5467" s="1" t="n">
        <v>45097</v>
      </c>
      <c r="C5467" s="1" t="n">
        <v>45211</v>
      </c>
      <c r="D5467" t="inlineStr">
        <is>
          <t>ÖSTERGÖTLANDS LÄN</t>
        </is>
      </c>
      <c r="E5467" t="inlineStr">
        <is>
          <t>ÖDESHÖG</t>
        </is>
      </c>
      <c r="G5467" t="n">
        <v>1.4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s="2" t="inlineStr"/>
    </row>
    <row r="5468" ht="15" customHeight="1">
      <c r="A5468" t="inlineStr">
        <is>
          <t>A 27592-2023</t>
        </is>
      </c>
      <c r="B5468" s="1" t="n">
        <v>45097</v>
      </c>
      <c r="C5468" s="1" t="n">
        <v>45211</v>
      </c>
      <c r="D5468" t="inlineStr">
        <is>
          <t>ÖSTERGÖTLANDS LÄN</t>
        </is>
      </c>
      <c r="E5468" t="inlineStr">
        <is>
          <t>SÖDERKÖPING</t>
        </is>
      </c>
      <c r="G5468" t="n">
        <v>5.1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s="2" t="inlineStr"/>
    </row>
    <row r="5469" ht="15" customHeight="1">
      <c r="A5469" t="inlineStr">
        <is>
          <t>A 27643-2023</t>
        </is>
      </c>
      <c r="B5469" s="1" t="n">
        <v>45097</v>
      </c>
      <c r="C5469" s="1" t="n">
        <v>45211</v>
      </c>
      <c r="D5469" t="inlineStr">
        <is>
          <t>ÖSTERGÖTLANDS LÄN</t>
        </is>
      </c>
      <c r="E5469" t="inlineStr">
        <is>
          <t>ÅTVIDABERG</t>
        </is>
      </c>
      <c r="G5469" t="n">
        <v>0.6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s="2" t="inlineStr"/>
    </row>
    <row r="5470" ht="15" customHeight="1">
      <c r="A5470" t="inlineStr">
        <is>
          <t>A 27516-2023</t>
        </is>
      </c>
      <c r="B5470" s="1" t="n">
        <v>45097</v>
      </c>
      <c r="C5470" s="1" t="n">
        <v>45211</v>
      </c>
      <c r="D5470" t="inlineStr">
        <is>
          <t>ÖSTERGÖTLANDS LÄN</t>
        </is>
      </c>
      <c r="E5470" t="inlineStr">
        <is>
          <t>ÅTVIDABERG</t>
        </is>
      </c>
      <c r="G5470" t="n">
        <v>0.6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s="2" t="inlineStr"/>
    </row>
    <row r="5471" ht="15" customHeight="1">
      <c r="A5471" t="inlineStr">
        <is>
          <t>A 27656-2023</t>
        </is>
      </c>
      <c r="B5471" s="1" t="n">
        <v>45097</v>
      </c>
      <c r="C5471" s="1" t="n">
        <v>45211</v>
      </c>
      <c r="D5471" t="inlineStr">
        <is>
          <t>ÖSTERGÖTLANDS LÄN</t>
        </is>
      </c>
      <c r="E5471" t="inlineStr">
        <is>
          <t>MOTALA</t>
        </is>
      </c>
      <c r="G5471" t="n">
        <v>3.2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s="2" t="inlineStr"/>
    </row>
    <row r="5472" ht="15" customHeight="1">
      <c r="A5472" t="inlineStr">
        <is>
          <t>A 27666-2023</t>
        </is>
      </c>
      <c r="B5472" s="1" t="n">
        <v>45097</v>
      </c>
      <c r="C5472" s="1" t="n">
        <v>45211</v>
      </c>
      <c r="D5472" t="inlineStr">
        <is>
          <t>ÖSTERGÖTLANDS LÄN</t>
        </is>
      </c>
      <c r="E5472" t="inlineStr">
        <is>
          <t>ÅTVIDABERG</t>
        </is>
      </c>
      <c r="G5472" t="n">
        <v>0.5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s="2" t="inlineStr"/>
    </row>
    <row r="5473" ht="15" customHeight="1">
      <c r="A5473" t="inlineStr">
        <is>
          <t>A 27464-2023</t>
        </is>
      </c>
      <c r="B5473" s="1" t="n">
        <v>45097</v>
      </c>
      <c r="C5473" s="1" t="n">
        <v>45211</v>
      </c>
      <c r="D5473" t="inlineStr">
        <is>
          <t>ÖSTERGÖTLANDS LÄN</t>
        </is>
      </c>
      <c r="E5473" t="inlineStr">
        <is>
          <t>SÖDERKÖPING</t>
        </is>
      </c>
      <c r="G5473" t="n">
        <v>8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s="2" t="inlineStr"/>
    </row>
    <row r="5474" ht="15" customHeight="1">
      <c r="A5474" t="inlineStr">
        <is>
          <t>A 27514-2023</t>
        </is>
      </c>
      <c r="B5474" s="1" t="n">
        <v>45097</v>
      </c>
      <c r="C5474" s="1" t="n">
        <v>45211</v>
      </c>
      <c r="D5474" t="inlineStr">
        <is>
          <t>ÖSTERGÖTLANDS LÄN</t>
        </is>
      </c>
      <c r="E5474" t="inlineStr">
        <is>
          <t>KINDA</t>
        </is>
      </c>
      <c r="G5474" t="n">
        <v>4.9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s="2" t="inlineStr"/>
    </row>
    <row r="5475" ht="15" customHeight="1">
      <c r="A5475" t="inlineStr">
        <is>
          <t>A 27642-2023</t>
        </is>
      </c>
      <c r="B5475" s="1" t="n">
        <v>45097</v>
      </c>
      <c r="C5475" s="1" t="n">
        <v>45211</v>
      </c>
      <c r="D5475" t="inlineStr">
        <is>
          <t>ÖSTERGÖTLANDS LÄN</t>
        </is>
      </c>
      <c r="E5475" t="inlineStr">
        <is>
          <t>ÅTVIDABERG</t>
        </is>
      </c>
      <c r="G5475" t="n">
        <v>0.5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s="2" t="inlineStr"/>
    </row>
    <row r="5476" ht="15" customHeight="1">
      <c r="A5476" t="inlineStr">
        <is>
          <t>A 27664-2023</t>
        </is>
      </c>
      <c r="B5476" s="1" t="n">
        <v>45097</v>
      </c>
      <c r="C5476" s="1" t="n">
        <v>45211</v>
      </c>
      <c r="D5476" t="inlineStr">
        <is>
          <t>ÖSTERGÖTLANDS LÄN</t>
        </is>
      </c>
      <c r="E5476" t="inlineStr">
        <is>
          <t>ÅTVIDABERG</t>
        </is>
      </c>
      <c r="G5476" t="n">
        <v>1.8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s="2" t="inlineStr"/>
    </row>
    <row r="5477" ht="15" customHeight="1">
      <c r="A5477" t="inlineStr">
        <is>
          <t>A 27509-2023</t>
        </is>
      </c>
      <c r="B5477" s="1" t="n">
        <v>45097</v>
      </c>
      <c r="C5477" s="1" t="n">
        <v>45211</v>
      </c>
      <c r="D5477" t="inlineStr">
        <is>
          <t>ÖSTERGÖTLANDS LÄN</t>
        </is>
      </c>
      <c r="E5477" t="inlineStr">
        <is>
          <t>KINDA</t>
        </is>
      </c>
      <c r="G5477" t="n">
        <v>0.8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s="2" t="inlineStr"/>
    </row>
    <row r="5478" ht="15" customHeight="1">
      <c r="A5478" t="inlineStr">
        <is>
          <t>A 27513-2023</t>
        </is>
      </c>
      <c r="B5478" s="1" t="n">
        <v>45097</v>
      </c>
      <c r="C5478" s="1" t="n">
        <v>45211</v>
      </c>
      <c r="D5478" t="inlineStr">
        <is>
          <t>ÖSTERGÖTLANDS LÄN</t>
        </is>
      </c>
      <c r="E5478" t="inlineStr">
        <is>
          <t>ÅTVIDABERG</t>
        </is>
      </c>
      <c r="G5478" t="n">
        <v>0.9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s="2" t="inlineStr"/>
    </row>
    <row r="5479" ht="15" customHeight="1">
      <c r="A5479" t="inlineStr">
        <is>
          <t>A 27517-2023</t>
        </is>
      </c>
      <c r="B5479" s="1" t="n">
        <v>45097</v>
      </c>
      <c r="C5479" s="1" t="n">
        <v>45211</v>
      </c>
      <c r="D5479" t="inlineStr">
        <is>
          <t>ÖSTERGÖTLANDS LÄN</t>
        </is>
      </c>
      <c r="E5479" t="inlineStr">
        <is>
          <t>NORRKÖPING</t>
        </is>
      </c>
      <c r="F5479" t="inlineStr">
        <is>
          <t>Holmen skog AB</t>
        </is>
      </c>
      <c r="G5479" t="n">
        <v>1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s="2" t="inlineStr"/>
    </row>
    <row r="5480" ht="15" customHeight="1">
      <c r="A5480" t="inlineStr">
        <is>
          <t>A 27598-2023</t>
        </is>
      </c>
      <c r="B5480" s="1" t="n">
        <v>45097</v>
      </c>
      <c r="C5480" s="1" t="n">
        <v>45211</v>
      </c>
      <c r="D5480" t="inlineStr">
        <is>
          <t>ÖSTERGÖTLANDS LÄN</t>
        </is>
      </c>
      <c r="E5480" t="inlineStr">
        <is>
          <t>SÖDERKÖPING</t>
        </is>
      </c>
      <c r="G5480" t="n">
        <v>0.6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s="2" t="inlineStr"/>
    </row>
    <row r="5481" ht="15" customHeight="1">
      <c r="A5481" t="inlineStr">
        <is>
          <t>A 27603-2023</t>
        </is>
      </c>
      <c r="B5481" s="1" t="n">
        <v>45097</v>
      </c>
      <c r="C5481" s="1" t="n">
        <v>45211</v>
      </c>
      <c r="D5481" t="inlineStr">
        <is>
          <t>ÖSTERGÖTLANDS LÄN</t>
        </is>
      </c>
      <c r="E5481" t="inlineStr">
        <is>
          <t>FINSPÅNG</t>
        </is>
      </c>
      <c r="G5481" t="n">
        <v>1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s="2" t="inlineStr"/>
    </row>
    <row r="5482" ht="15" customHeight="1">
      <c r="A5482" t="inlineStr">
        <is>
          <t>A 27607-2023</t>
        </is>
      </c>
      <c r="B5482" s="1" t="n">
        <v>45097</v>
      </c>
      <c r="C5482" s="1" t="n">
        <v>45211</v>
      </c>
      <c r="D5482" t="inlineStr">
        <is>
          <t>ÖSTERGÖTLANDS LÄN</t>
        </is>
      </c>
      <c r="E5482" t="inlineStr">
        <is>
          <t>FINSPÅNG</t>
        </is>
      </c>
      <c r="G5482" t="n">
        <v>0.7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s="2" t="inlineStr"/>
    </row>
    <row r="5483" ht="15" customHeight="1">
      <c r="A5483" t="inlineStr">
        <is>
          <t>A 27987-2023</t>
        </is>
      </c>
      <c r="B5483" s="1" t="n">
        <v>45098</v>
      </c>
      <c r="C5483" s="1" t="n">
        <v>45211</v>
      </c>
      <c r="D5483" t="inlineStr">
        <is>
          <t>ÖSTERGÖTLANDS LÄN</t>
        </is>
      </c>
      <c r="E5483" t="inlineStr">
        <is>
          <t>ÅTVIDABERG</t>
        </is>
      </c>
      <c r="G5483" t="n">
        <v>0.6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s="2" t="inlineStr"/>
    </row>
    <row r="5484" ht="15" customHeight="1">
      <c r="A5484" t="inlineStr">
        <is>
          <t>A 28291-2023</t>
        </is>
      </c>
      <c r="B5484" s="1" t="n">
        <v>45098</v>
      </c>
      <c r="C5484" s="1" t="n">
        <v>45211</v>
      </c>
      <c r="D5484" t="inlineStr">
        <is>
          <t>ÖSTERGÖTLANDS LÄN</t>
        </is>
      </c>
      <c r="E5484" t="inlineStr">
        <is>
          <t>KINDA</t>
        </is>
      </c>
      <c r="G5484" t="n">
        <v>1.8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s="2" t="inlineStr"/>
    </row>
    <row r="5485" ht="15" customHeight="1">
      <c r="A5485" t="inlineStr">
        <is>
          <t>A 27883-2023</t>
        </is>
      </c>
      <c r="B5485" s="1" t="n">
        <v>45098</v>
      </c>
      <c r="C5485" s="1" t="n">
        <v>45211</v>
      </c>
      <c r="D5485" t="inlineStr">
        <is>
          <t>ÖSTERGÖTLANDS LÄN</t>
        </is>
      </c>
      <c r="E5485" t="inlineStr">
        <is>
          <t>SÖDERKÖPING</t>
        </is>
      </c>
      <c r="G5485" t="n">
        <v>7.8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s="2" t="inlineStr"/>
    </row>
    <row r="5486" ht="15" customHeight="1">
      <c r="A5486" t="inlineStr">
        <is>
          <t>A 27986-2023</t>
        </is>
      </c>
      <c r="B5486" s="1" t="n">
        <v>45098</v>
      </c>
      <c r="C5486" s="1" t="n">
        <v>45211</v>
      </c>
      <c r="D5486" t="inlineStr">
        <is>
          <t>ÖSTERGÖTLANDS LÄN</t>
        </is>
      </c>
      <c r="E5486" t="inlineStr">
        <is>
          <t>ÅTVIDABERG</t>
        </is>
      </c>
      <c r="G5486" t="n">
        <v>0.5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s="2" t="inlineStr"/>
    </row>
    <row r="5487" ht="15" customHeight="1">
      <c r="A5487" t="inlineStr">
        <is>
          <t>A 28027-2023</t>
        </is>
      </c>
      <c r="B5487" s="1" t="n">
        <v>45098</v>
      </c>
      <c r="C5487" s="1" t="n">
        <v>45211</v>
      </c>
      <c r="D5487" t="inlineStr">
        <is>
          <t>ÖSTERGÖTLANDS LÄN</t>
        </is>
      </c>
      <c r="E5487" t="inlineStr">
        <is>
          <t>SÖDERKÖPING</t>
        </is>
      </c>
      <c r="G5487" t="n">
        <v>3.9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s="2" t="inlineStr"/>
    </row>
    <row r="5488" ht="15" customHeight="1">
      <c r="A5488" t="inlineStr">
        <is>
          <t>A 27733-2023</t>
        </is>
      </c>
      <c r="B5488" s="1" t="n">
        <v>45098</v>
      </c>
      <c r="C5488" s="1" t="n">
        <v>45211</v>
      </c>
      <c r="D5488" t="inlineStr">
        <is>
          <t>ÖSTERGÖTLANDS LÄN</t>
        </is>
      </c>
      <c r="E5488" t="inlineStr">
        <is>
          <t>LINKÖPING</t>
        </is>
      </c>
      <c r="G5488" t="n">
        <v>3.9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s="2" t="inlineStr"/>
    </row>
    <row r="5489" ht="15" customHeight="1">
      <c r="A5489" t="inlineStr">
        <is>
          <t>A 27969-2023</t>
        </is>
      </c>
      <c r="B5489" s="1" t="n">
        <v>45098</v>
      </c>
      <c r="C5489" s="1" t="n">
        <v>45211</v>
      </c>
      <c r="D5489" t="inlineStr">
        <is>
          <t>ÖSTERGÖTLANDS LÄN</t>
        </is>
      </c>
      <c r="E5489" t="inlineStr">
        <is>
          <t>KINDA</t>
        </is>
      </c>
      <c r="G5489" t="n">
        <v>1.8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s="2" t="inlineStr"/>
    </row>
    <row r="5490" ht="15" customHeight="1">
      <c r="A5490" t="inlineStr">
        <is>
          <t>A 28316-2023</t>
        </is>
      </c>
      <c r="B5490" s="1" t="n">
        <v>45098</v>
      </c>
      <c r="C5490" s="1" t="n">
        <v>45211</v>
      </c>
      <c r="D5490" t="inlineStr">
        <is>
          <t>ÖSTERGÖTLANDS LÄN</t>
        </is>
      </c>
      <c r="E5490" t="inlineStr">
        <is>
          <t>KINDA</t>
        </is>
      </c>
      <c r="G5490" t="n">
        <v>2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s="2" t="inlineStr"/>
    </row>
    <row r="5491" ht="15" customHeight="1">
      <c r="A5491" t="inlineStr">
        <is>
          <t>A 27989-2023</t>
        </is>
      </c>
      <c r="B5491" s="1" t="n">
        <v>45098</v>
      </c>
      <c r="C5491" s="1" t="n">
        <v>45211</v>
      </c>
      <c r="D5491" t="inlineStr">
        <is>
          <t>ÖSTERGÖTLANDS LÄN</t>
        </is>
      </c>
      <c r="E5491" t="inlineStr">
        <is>
          <t>FINSPÅNG</t>
        </is>
      </c>
      <c r="F5491" t="inlineStr">
        <is>
          <t>Övriga Aktiebolag</t>
        </is>
      </c>
      <c r="G5491" t="n">
        <v>1.2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s="2" t="inlineStr"/>
    </row>
    <row r="5492" ht="15" customHeight="1">
      <c r="A5492" t="inlineStr">
        <is>
          <t>A 28310-2023</t>
        </is>
      </c>
      <c r="B5492" s="1" t="n">
        <v>45098</v>
      </c>
      <c r="C5492" s="1" t="n">
        <v>45211</v>
      </c>
      <c r="D5492" t="inlineStr">
        <is>
          <t>ÖSTERGÖTLANDS LÄN</t>
        </is>
      </c>
      <c r="E5492" t="inlineStr">
        <is>
          <t>KINDA</t>
        </is>
      </c>
      <c r="G5492" t="n">
        <v>2.8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s="2" t="inlineStr"/>
    </row>
    <row r="5493" ht="15" customHeight="1">
      <c r="A5493" t="inlineStr">
        <is>
          <t>A 28165-2023</t>
        </is>
      </c>
      <c r="B5493" s="1" t="n">
        <v>45099</v>
      </c>
      <c r="C5493" s="1" t="n">
        <v>45211</v>
      </c>
      <c r="D5493" t="inlineStr">
        <is>
          <t>ÖSTERGÖTLANDS LÄN</t>
        </is>
      </c>
      <c r="E5493" t="inlineStr">
        <is>
          <t>SÖDERKÖPING</t>
        </is>
      </c>
      <c r="G5493" t="n">
        <v>4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s="2" t="inlineStr"/>
    </row>
    <row r="5494" ht="15" customHeight="1">
      <c r="A5494" t="inlineStr">
        <is>
          <t>A 28239-2023</t>
        </is>
      </c>
      <c r="B5494" s="1" t="n">
        <v>45099</v>
      </c>
      <c r="C5494" s="1" t="n">
        <v>45211</v>
      </c>
      <c r="D5494" t="inlineStr">
        <is>
          <t>ÖSTERGÖTLANDS LÄN</t>
        </is>
      </c>
      <c r="E5494" t="inlineStr">
        <is>
          <t>YDRE</t>
        </is>
      </c>
      <c r="G5494" t="n">
        <v>7.6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s="2" t="inlineStr"/>
    </row>
    <row r="5495" ht="15" customHeight="1">
      <c r="A5495" t="inlineStr">
        <is>
          <t>A 28061-2023</t>
        </is>
      </c>
      <c r="B5495" s="1" t="n">
        <v>45099</v>
      </c>
      <c r="C5495" s="1" t="n">
        <v>45211</v>
      </c>
      <c r="D5495" t="inlineStr">
        <is>
          <t>ÖSTERGÖTLANDS LÄN</t>
        </is>
      </c>
      <c r="E5495" t="inlineStr">
        <is>
          <t>SÖDERKÖPING</t>
        </is>
      </c>
      <c r="G5495" t="n">
        <v>12.7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s="2" t="inlineStr"/>
    </row>
    <row r="5496" ht="15" customHeight="1">
      <c r="A5496" t="inlineStr">
        <is>
          <t>A 28202-2023</t>
        </is>
      </c>
      <c r="B5496" s="1" t="n">
        <v>45099</v>
      </c>
      <c r="C5496" s="1" t="n">
        <v>45211</v>
      </c>
      <c r="D5496" t="inlineStr">
        <is>
          <t>ÖSTERGÖTLANDS LÄN</t>
        </is>
      </c>
      <c r="E5496" t="inlineStr">
        <is>
          <t>MOTALA</t>
        </is>
      </c>
      <c r="G5496" t="n">
        <v>1.7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s="2" t="inlineStr"/>
    </row>
    <row r="5497" ht="15" customHeight="1">
      <c r="A5497" t="inlineStr">
        <is>
          <t>A 30955-2023</t>
        </is>
      </c>
      <c r="B5497" s="1" t="n">
        <v>45103</v>
      </c>
      <c r="C5497" s="1" t="n">
        <v>45211</v>
      </c>
      <c r="D5497" t="inlineStr">
        <is>
          <t>ÖSTERGÖTLANDS LÄN</t>
        </is>
      </c>
      <c r="E5497" t="inlineStr">
        <is>
          <t>MOTALA</t>
        </is>
      </c>
      <c r="F5497" t="inlineStr">
        <is>
          <t>Övriga statliga verk och myndigheter</t>
        </is>
      </c>
      <c r="G5497" t="n">
        <v>7.5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s="2" t="inlineStr"/>
    </row>
    <row r="5498" ht="15" customHeight="1">
      <c r="A5498" t="inlineStr">
        <is>
          <t>A 28722-2023</t>
        </is>
      </c>
      <c r="B5498" s="1" t="n">
        <v>45103</v>
      </c>
      <c r="C5498" s="1" t="n">
        <v>45211</v>
      </c>
      <c r="D5498" t="inlineStr">
        <is>
          <t>ÖSTERGÖTLANDS LÄN</t>
        </is>
      </c>
      <c r="E5498" t="inlineStr">
        <is>
          <t>FINSPÅNG</t>
        </is>
      </c>
      <c r="G5498" t="n">
        <v>1.3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s="2" t="inlineStr"/>
    </row>
    <row r="5499" ht="15" customHeight="1">
      <c r="A5499" t="inlineStr">
        <is>
          <t>A 30943-2023</t>
        </is>
      </c>
      <c r="B5499" s="1" t="n">
        <v>45103</v>
      </c>
      <c r="C5499" s="1" t="n">
        <v>45211</v>
      </c>
      <c r="D5499" t="inlineStr">
        <is>
          <t>ÖSTERGÖTLANDS LÄN</t>
        </is>
      </c>
      <c r="E5499" t="inlineStr">
        <is>
          <t>LINKÖPING</t>
        </is>
      </c>
      <c r="F5499" t="inlineStr">
        <is>
          <t>Övriga statliga verk och myndigheter</t>
        </is>
      </c>
      <c r="G5499" t="n">
        <v>2.3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s="2" t="inlineStr"/>
    </row>
    <row r="5500" ht="15" customHeight="1">
      <c r="A5500" t="inlineStr">
        <is>
          <t>A 28887-2023</t>
        </is>
      </c>
      <c r="B5500" s="1" t="n">
        <v>45104</v>
      </c>
      <c r="C5500" s="1" t="n">
        <v>45211</v>
      </c>
      <c r="D5500" t="inlineStr">
        <is>
          <t>ÖSTERGÖTLANDS LÄN</t>
        </is>
      </c>
      <c r="E5500" t="inlineStr">
        <is>
          <t>ÅTVIDABERG</t>
        </is>
      </c>
      <c r="G5500" t="n">
        <v>0.6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s="2" t="inlineStr"/>
    </row>
    <row r="5501" ht="15" customHeight="1">
      <c r="A5501" t="inlineStr">
        <is>
          <t>A 31309-2023</t>
        </is>
      </c>
      <c r="B5501" s="1" t="n">
        <v>45104</v>
      </c>
      <c r="C5501" s="1" t="n">
        <v>45211</v>
      </c>
      <c r="D5501" t="inlineStr">
        <is>
          <t>ÖSTERGÖTLANDS LÄN</t>
        </is>
      </c>
      <c r="E5501" t="inlineStr">
        <is>
          <t>NORRKÖPING</t>
        </is>
      </c>
      <c r="G5501" t="n">
        <v>0.7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s="2" t="inlineStr"/>
    </row>
    <row r="5502" ht="15" customHeight="1">
      <c r="A5502" t="inlineStr">
        <is>
          <t>A 28876-2023</t>
        </is>
      </c>
      <c r="B5502" s="1" t="n">
        <v>45104</v>
      </c>
      <c r="C5502" s="1" t="n">
        <v>45211</v>
      </c>
      <c r="D5502" t="inlineStr">
        <is>
          <t>ÖSTERGÖTLANDS LÄN</t>
        </is>
      </c>
      <c r="E5502" t="inlineStr">
        <is>
          <t>ÅTVIDABERG</t>
        </is>
      </c>
      <c r="G5502" t="n">
        <v>0.4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s="2" t="inlineStr"/>
    </row>
    <row r="5503" ht="15" customHeight="1">
      <c r="A5503" t="inlineStr">
        <is>
          <t>A 28878-2023</t>
        </is>
      </c>
      <c r="B5503" s="1" t="n">
        <v>45104</v>
      </c>
      <c r="C5503" s="1" t="n">
        <v>45211</v>
      </c>
      <c r="D5503" t="inlineStr">
        <is>
          <t>ÖSTERGÖTLANDS LÄN</t>
        </is>
      </c>
      <c r="E5503" t="inlineStr">
        <is>
          <t>ÅTVIDABERG</t>
        </is>
      </c>
      <c r="G5503" t="n">
        <v>0.3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s="2" t="inlineStr"/>
    </row>
    <row r="5504" ht="15" customHeight="1">
      <c r="A5504" t="inlineStr">
        <is>
          <t>A 28915-2023</t>
        </is>
      </c>
      <c r="B5504" s="1" t="n">
        <v>45104</v>
      </c>
      <c r="C5504" s="1" t="n">
        <v>45211</v>
      </c>
      <c r="D5504" t="inlineStr">
        <is>
          <t>ÖSTERGÖTLANDS LÄN</t>
        </is>
      </c>
      <c r="E5504" t="inlineStr">
        <is>
          <t>YDRE</t>
        </is>
      </c>
      <c r="G5504" t="n">
        <v>1.6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s="2" t="inlineStr"/>
    </row>
    <row r="5505" ht="15" customHeight="1">
      <c r="A5505" t="inlineStr">
        <is>
          <t>A 29034-2023</t>
        </is>
      </c>
      <c r="B5505" s="1" t="n">
        <v>45104</v>
      </c>
      <c r="C5505" s="1" t="n">
        <v>45211</v>
      </c>
      <c r="D5505" t="inlineStr">
        <is>
          <t>ÖSTERGÖTLANDS LÄN</t>
        </is>
      </c>
      <c r="E5505" t="inlineStr">
        <is>
          <t>YDRE</t>
        </is>
      </c>
      <c r="G5505" t="n">
        <v>1.7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s="2" t="inlineStr"/>
    </row>
    <row r="5506" ht="15" customHeight="1">
      <c r="A5506" t="inlineStr">
        <is>
          <t>A 29128-2023</t>
        </is>
      </c>
      <c r="B5506" s="1" t="n">
        <v>45105</v>
      </c>
      <c r="C5506" s="1" t="n">
        <v>45211</v>
      </c>
      <c r="D5506" t="inlineStr">
        <is>
          <t>ÖSTERGÖTLANDS LÄN</t>
        </is>
      </c>
      <c r="E5506" t="inlineStr">
        <is>
          <t>YDRE</t>
        </is>
      </c>
      <c r="G5506" t="n">
        <v>2.2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s="2" t="inlineStr"/>
    </row>
    <row r="5507" ht="15" customHeight="1">
      <c r="A5507" t="inlineStr">
        <is>
          <t>A 31635-2023</t>
        </is>
      </c>
      <c r="B5507" s="1" t="n">
        <v>45105</v>
      </c>
      <c r="C5507" s="1" t="n">
        <v>45211</v>
      </c>
      <c r="D5507" t="inlineStr">
        <is>
          <t>ÖSTERGÖTLANDS LÄN</t>
        </is>
      </c>
      <c r="E5507" t="inlineStr">
        <is>
          <t>LINKÖPING</t>
        </is>
      </c>
      <c r="F5507" t="inlineStr">
        <is>
          <t>Övriga statliga verk och myndigheter</t>
        </is>
      </c>
      <c r="G5507" t="n">
        <v>4.6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s="2" t="inlineStr"/>
    </row>
    <row r="5508" ht="15" customHeight="1">
      <c r="A5508" t="inlineStr">
        <is>
          <t>A 29129-2023</t>
        </is>
      </c>
      <c r="B5508" s="1" t="n">
        <v>45105</v>
      </c>
      <c r="C5508" s="1" t="n">
        <v>45211</v>
      </c>
      <c r="D5508" t="inlineStr">
        <is>
          <t>ÖSTERGÖTLANDS LÄN</t>
        </is>
      </c>
      <c r="E5508" t="inlineStr">
        <is>
          <t>YDRE</t>
        </is>
      </c>
      <c r="G5508" t="n">
        <v>1.6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s="2" t="inlineStr"/>
    </row>
    <row r="5509" ht="15" customHeight="1">
      <c r="A5509" t="inlineStr">
        <is>
          <t>A 29155-2023</t>
        </is>
      </c>
      <c r="B5509" s="1" t="n">
        <v>45105</v>
      </c>
      <c r="C5509" s="1" t="n">
        <v>45211</v>
      </c>
      <c r="D5509" t="inlineStr">
        <is>
          <t>ÖSTERGÖTLANDS LÄN</t>
        </is>
      </c>
      <c r="E5509" t="inlineStr">
        <is>
          <t>KINDA</t>
        </is>
      </c>
      <c r="G5509" t="n">
        <v>0.6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s="2" t="inlineStr"/>
    </row>
    <row r="5510" ht="15" customHeight="1">
      <c r="A5510" t="inlineStr">
        <is>
          <t>A 31813-2023</t>
        </is>
      </c>
      <c r="B5510" s="1" t="n">
        <v>45106</v>
      </c>
      <c r="C5510" s="1" t="n">
        <v>45211</v>
      </c>
      <c r="D5510" t="inlineStr">
        <is>
          <t>ÖSTERGÖTLANDS LÄN</t>
        </is>
      </c>
      <c r="E5510" t="inlineStr">
        <is>
          <t>NORRKÖPING</t>
        </is>
      </c>
      <c r="G5510" t="n">
        <v>10.3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s="2" t="inlineStr"/>
    </row>
    <row r="5511" ht="15" customHeight="1">
      <c r="A5511" t="inlineStr">
        <is>
          <t>A 31834-2023</t>
        </is>
      </c>
      <c r="B5511" s="1" t="n">
        <v>45106</v>
      </c>
      <c r="C5511" s="1" t="n">
        <v>45211</v>
      </c>
      <c r="D5511" t="inlineStr">
        <is>
          <t>ÖSTERGÖTLANDS LÄN</t>
        </is>
      </c>
      <c r="E5511" t="inlineStr">
        <is>
          <t>NORRKÖPING</t>
        </is>
      </c>
      <c r="G5511" t="n">
        <v>0.3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s="2" t="inlineStr"/>
    </row>
    <row r="5512" ht="15" customHeight="1">
      <c r="A5512" t="inlineStr">
        <is>
          <t>A 31824-2023</t>
        </is>
      </c>
      <c r="B5512" s="1" t="n">
        <v>45106</v>
      </c>
      <c r="C5512" s="1" t="n">
        <v>45211</v>
      </c>
      <c r="D5512" t="inlineStr">
        <is>
          <t>ÖSTERGÖTLANDS LÄN</t>
        </is>
      </c>
      <c r="E5512" t="inlineStr">
        <is>
          <t>NORRKÖPING</t>
        </is>
      </c>
      <c r="G5512" t="n">
        <v>0.8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s="2" t="inlineStr"/>
    </row>
    <row r="5513" ht="15" customHeight="1">
      <c r="A5513" t="inlineStr">
        <is>
          <t>A 31844-2023</t>
        </is>
      </c>
      <c r="B5513" s="1" t="n">
        <v>45106</v>
      </c>
      <c r="C5513" s="1" t="n">
        <v>45211</v>
      </c>
      <c r="D5513" t="inlineStr">
        <is>
          <t>ÖSTERGÖTLANDS LÄN</t>
        </is>
      </c>
      <c r="E5513" t="inlineStr">
        <is>
          <t>NORRKÖPING</t>
        </is>
      </c>
      <c r="G5513" t="n">
        <v>0.8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s="2" t="inlineStr"/>
    </row>
    <row r="5514" ht="15" customHeight="1">
      <c r="A5514" t="inlineStr">
        <is>
          <t>A 29358-2023</t>
        </is>
      </c>
      <c r="B5514" s="1" t="n">
        <v>45106</v>
      </c>
      <c r="C5514" s="1" t="n">
        <v>45211</v>
      </c>
      <c r="D5514" t="inlineStr">
        <is>
          <t>ÖSTERGÖTLANDS LÄN</t>
        </is>
      </c>
      <c r="E5514" t="inlineStr">
        <is>
          <t>ÅTVIDABERG</t>
        </is>
      </c>
      <c r="G5514" t="n">
        <v>1.4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s="2" t="inlineStr"/>
    </row>
    <row r="5515" ht="15" customHeight="1">
      <c r="A5515" t="inlineStr">
        <is>
          <t>A 31852-2023</t>
        </is>
      </c>
      <c r="B5515" s="1" t="n">
        <v>45106</v>
      </c>
      <c r="C5515" s="1" t="n">
        <v>45211</v>
      </c>
      <c r="D5515" t="inlineStr">
        <is>
          <t>ÖSTERGÖTLANDS LÄN</t>
        </is>
      </c>
      <c r="E5515" t="inlineStr">
        <is>
          <t>NORRKÖPING</t>
        </is>
      </c>
      <c r="G5515" t="n">
        <v>0.7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s="2" t="inlineStr"/>
    </row>
    <row r="5516" ht="15" customHeight="1">
      <c r="A5516" t="inlineStr">
        <is>
          <t>A 31838-2023</t>
        </is>
      </c>
      <c r="B5516" s="1" t="n">
        <v>45106</v>
      </c>
      <c r="C5516" s="1" t="n">
        <v>45211</v>
      </c>
      <c r="D5516" t="inlineStr">
        <is>
          <t>ÖSTERGÖTLANDS LÄN</t>
        </is>
      </c>
      <c r="E5516" t="inlineStr">
        <is>
          <t>NORRKÖPING</t>
        </is>
      </c>
      <c r="G5516" t="n">
        <v>1.7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s="2" t="inlineStr"/>
    </row>
    <row r="5517" ht="15" customHeight="1">
      <c r="A5517" t="inlineStr">
        <is>
          <t>A 31850-2023</t>
        </is>
      </c>
      <c r="B5517" s="1" t="n">
        <v>45106</v>
      </c>
      <c r="C5517" s="1" t="n">
        <v>45211</v>
      </c>
      <c r="D5517" t="inlineStr">
        <is>
          <t>ÖSTERGÖTLANDS LÄN</t>
        </is>
      </c>
      <c r="E5517" t="inlineStr">
        <is>
          <t>NORRKÖPING</t>
        </is>
      </c>
      <c r="G5517" t="n">
        <v>1.9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s="2" t="inlineStr"/>
    </row>
    <row r="5518" ht="15" customHeight="1">
      <c r="A5518" t="inlineStr">
        <is>
          <t>A 29922-2023</t>
        </is>
      </c>
      <c r="B5518" s="1" t="n">
        <v>45107</v>
      </c>
      <c r="C5518" s="1" t="n">
        <v>45211</v>
      </c>
      <c r="D5518" t="inlineStr">
        <is>
          <t>ÖSTERGÖTLANDS LÄN</t>
        </is>
      </c>
      <c r="E5518" t="inlineStr">
        <is>
          <t>FINSPÅNG</t>
        </is>
      </c>
      <c r="G5518" t="n">
        <v>12.6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s="2" t="inlineStr"/>
    </row>
    <row r="5519" ht="15" customHeight="1">
      <c r="A5519" t="inlineStr">
        <is>
          <t>A 29834-2023</t>
        </is>
      </c>
      <c r="B5519" s="1" t="n">
        <v>45107</v>
      </c>
      <c r="C5519" s="1" t="n">
        <v>45211</v>
      </c>
      <c r="D5519" t="inlineStr">
        <is>
          <t>ÖSTERGÖTLANDS LÄN</t>
        </is>
      </c>
      <c r="E5519" t="inlineStr">
        <is>
          <t>LINKÖPING</t>
        </is>
      </c>
      <c r="G5519" t="n">
        <v>0.8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s="2" t="inlineStr"/>
    </row>
    <row r="5520" ht="15" customHeight="1">
      <c r="A5520" t="inlineStr">
        <is>
          <t>A 29923-2023</t>
        </is>
      </c>
      <c r="B5520" s="1" t="n">
        <v>45107</v>
      </c>
      <c r="C5520" s="1" t="n">
        <v>45211</v>
      </c>
      <c r="D5520" t="inlineStr">
        <is>
          <t>ÖSTERGÖTLANDS LÄN</t>
        </is>
      </c>
      <c r="E5520" t="inlineStr">
        <is>
          <t>FINSPÅNG</t>
        </is>
      </c>
      <c r="G5520" t="n">
        <v>2.7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s="2" t="inlineStr"/>
    </row>
    <row r="5521" ht="15" customHeight="1">
      <c r="A5521" t="inlineStr">
        <is>
          <t>A 32165-2023</t>
        </is>
      </c>
      <c r="B5521" s="1" t="n">
        <v>45107</v>
      </c>
      <c r="C5521" s="1" t="n">
        <v>45211</v>
      </c>
      <c r="D5521" t="inlineStr">
        <is>
          <t>ÖSTERGÖTLANDS LÄN</t>
        </is>
      </c>
      <c r="E5521" t="inlineStr">
        <is>
          <t>LINKÖPING</t>
        </is>
      </c>
      <c r="G5521" t="n">
        <v>1.1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s="2" t="inlineStr"/>
    </row>
    <row r="5522" ht="15" customHeight="1">
      <c r="A5522" t="inlineStr">
        <is>
          <t>A 29836-2023</t>
        </is>
      </c>
      <c r="B5522" s="1" t="n">
        <v>45107</v>
      </c>
      <c r="C5522" s="1" t="n">
        <v>45211</v>
      </c>
      <c r="D5522" t="inlineStr">
        <is>
          <t>ÖSTERGÖTLANDS LÄN</t>
        </is>
      </c>
      <c r="E5522" t="inlineStr">
        <is>
          <t>LINKÖPING</t>
        </is>
      </c>
      <c r="G5522" t="n">
        <v>0.7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s="2" t="inlineStr"/>
    </row>
    <row r="5523" ht="15" customHeight="1">
      <c r="A5523" t="inlineStr">
        <is>
          <t>A 29896-2023</t>
        </is>
      </c>
      <c r="B5523" s="1" t="n">
        <v>45107</v>
      </c>
      <c r="C5523" s="1" t="n">
        <v>45211</v>
      </c>
      <c r="D5523" t="inlineStr">
        <is>
          <t>ÖSTERGÖTLANDS LÄN</t>
        </is>
      </c>
      <c r="E5523" t="inlineStr">
        <is>
          <t>LINKÖPING</t>
        </is>
      </c>
      <c r="G5523" t="n">
        <v>0.9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s="2" t="inlineStr"/>
    </row>
    <row r="5524" ht="15" customHeight="1">
      <c r="A5524" t="inlineStr">
        <is>
          <t>A 30095-2023</t>
        </is>
      </c>
      <c r="B5524" s="1" t="n">
        <v>45110</v>
      </c>
      <c r="C5524" s="1" t="n">
        <v>45211</v>
      </c>
      <c r="D5524" t="inlineStr">
        <is>
          <t>ÖSTERGÖTLANDS LÄN</t>
        </is>
      </c>
      <c r="E5524" t="inlineStr">
        <is>
          <t>NORRKÖPING</t>
        </is>
      </c>
      <c r="F5524" t="inlineStr">
        <is>
          <t>Holmen skog AB</t>
        </is>
      </c>
      <c r="G5524" t="n">
        <v>0.9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s="2" t="inlineStr"/>
    </row>
    <row r="5525" ht="15" customHeight="1">
      <c r="A5525" t="inlineStr">
        <is>
          <t>A 32425-2023</t>
        </is>
      </c>
      <c r="B5525" s="1" t="n">
        <v>45110</v>
      </c>
      <c r="C5525" s="1" t="n">
        <v>45211</v>
      </c>
      <c r="D5525" t="inlineStr">
        <is>
          <t>ÖSTERGÖTLANDS LÄN</t>
        </is>
      </c>
      <c r="E5525" t="inlineStr">
        <is>
          <t>FINSPÅNG</t>
        </is>
      </c>
      <c r="G5525" t="n">
        <v>5.7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s="2" t="inlineStr"/>
    </row>
    <row r="5526" ht="15" customHeight="1">
      <c r="A5526" t="inlineStr">
        <is>
          <t>A 32429-2023</t>
        </is>
      </c>
      <c r="B5526" s="1" t="n">
        <v>45110</v>
      </c>
      <c r="C5526" s="1" t="n">
        <v>45211</v>
      </c>
      <c r="D5526" t="inlineStr">
        <is>
          <t>ÖSTERGÖTLANDS LÄN</t>
        </is>
      </c>
      <c r="E5526" t="inlineStr">
        <is>
          <t>FINSPÅNG</t>
        </is>
      </c>
      <c r="G5526" t="n">
        <v>3.4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s="2" t="inlineStr"/>
    </row>
    <row r="5527" ht="15" customHeight="1">
      <c r="A5527" t="inlineStr">
        <is>
          <t>A 30040-2023</t>
        </is>
      </c>
      <c r="B5527" s="1" t="n">
        <v>45110</v>
      </c>
      <c r="C5527" s="1" t="n">
        <v>45211</v>
      </c>
      <c r="D5527" t="inlineStr">
        <is>
          <t>ÖSTERGÖTLANDS LÄN</t>
        </is>
      </c>
      <c r="E5527" t="inlineStr">
        <is>
          <t>NORRKÖPING</t>
        </is>
      </c>
      <c r="F5527" t="inlineStr">
        <is>
          <t>Holmen skog AB</t>
        </is>
      </c>
      <c r="G5527" t="n">
        <v>1.6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s="2" t="inlineStr"/>
    </row>
    <row r="5528" ht="15" customHeight="1">
      <c r="A5528" t="inlineStr">
        <is>
          <t>A 30120-2023</t>
        </is>
      </c>
      <c r="B5528" s="1" t="n">
        <v>45110</v>
      </c>
      <c r="C5528" s="1" t="n">
        <v>45211</v>
      </c>
      <c r="D5528" t="inlineStr">
        <is>
          <t>ÖSTERGÖTLANDS LÄN</t>
        </is>
      </c>
      <c r="E5528" t="inlineStr">
        <is>
          <t>KINDA</t>
        </is>
      </c>
      <c r="G5528" t="n">
        <v>1.9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s="2" t="inlineStr"/>
    </row>
    <row r="5529" ht="15" customHeight="1">
      <c r="A5529" t="inlineStr">
        <is>
          <t>A 32423-2023</t>
        </is>
      </c>
      <c r="B5529" s="1" t="n">
        <v>45110</v>
      </c>
      <c r="C5529" s="1" t="n">
        <v>45211</v>
      </c>
      <c r="D5529" t="inlineStr">
        <is>
          <t>ÖSTERGÖTLANDS LÄN</t>
        </is>
      </c>
      <c r="E5529" t="inlineStr">
        <is>
          <t>FINSPÅNG</t>
        </is>
      </c>
      <c r="G5529" t="n">
        <v>6.4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s="2" t="inlineStr"/>
    </row>
    <row r="5530" ht="15" customHeight="1">
      <c r="A5530" t="inlineStr">
        <is>
          <t>A 32427-2023</t>
        </is>
      </c>
      <c r="B5530" s="1" t="n">
        <v>45110</v>
      </c>
      <c r="C5530" s="1" t="n">
        <v>45211</v>
      </c>
      <c r="D5530" t="inlineStr">
        <is>
          <t>ÖSTERGÖTLANDS LÄN</t>
        </is>
      </c>
      <c r="E5530" t="inlineStr">
        <is>
          <t>FINSPÅNG</t>
        </is>
      </c>
      <c r="G5530" t="n">
        <v>1.3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s="2" t="inlineStr"/>
    </row>
    <row r="5531" ht="15" customHeight="1">
      <c r="A5531" t="inlineStr">
        <is>
          <t>A 30049-2023</t>
        </is>
      </c>
      <c r="B5531" s="1" t="n">
        <v>45110</v>
      </c>
      <c r="C5531" s="1" t="n">
        <v>45211</v>
      </c>
      <c r="D5531" t="inlineStr">
        <is>
          <t>ÖSTERGÖTLANDS LÄN</t>
        </is>
      </c>
      <c r="E5531" t="inlineStr">
        <is>
          <t>YDRE</t>
        </is>
      </c>
      <c r="G5531" t="n">
        <v>1.2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s="2" t="inlineStr"/>
    </row>
    <row r="5532" ht="15" customHeight="1">
      <c r="A5532" t="inlineStr">
        <is>
          <t>A 30059-2023</t>
        </is>
      </c>
      <c r="B5532" s="1" t="n">
        <v>45110</v>
      </c>
      <c r="C5532" s="1" t="n">
        <v>45211</v>
      </c>
      <c r="D5532" t="inlineStr">
        <is>
          <t>ÖSTERGÖTLANDS LÄN</t>
        </is>
      </c>
      <c r="E5532" t="inlineStr">
        <is>
          <t>NORRKÖPING</t>
        </is>
      </c>
      <c r="F5532" t="inlineStr">
        <is>
          <t>Holmen skog AB</t>
        </is>
      </c>
      <c r="G5532" t="n">
        <v>1.1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s="2" t="inlineStr"/>
    </row>
    <row r="5533" ht="15" customHeight="1">
      <c r="A5533" t="inlineStr">
        <is>
          <t>A 30119-2023</t>
        </is>
      </c>
      <c r="B5533" s="1" t="n">
        <v>45110</v>
      </c>
      <c r="C5533" s="1" t="n">
        <v>45211</v>
      </c>
      <c r="D5533" t="inlineStr">
        <is>
          <t>ÖSTERGÖTLANDS LÄN</t>
        </is>
      </c>
      <c r="E5533" t="inlineStr">
        <is>
          <t>ÅTVIDABERG</t>
        </is>
      </c>
      <c r="F5533" t="inlineStr">
        <is>
          <t>Övriga Aktiebolag</t>
        </is>
      </c>
      <c r="G5533" t="n">
        <v>1.6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s="2" t="inlineStr"/>
    </row>
    <row r="5534" ht="15" customHeight="1">
      <c r="A5534" t="inlineStr">
        <is>
          <t>A 30129-2023</t>
        </is>
      </c>
      <c r="B5534" s="1" t="n">
        <v>45110</v>
      </c>
      <c r="C5534" s="1" t="n">
        <v>45211</v>
      </c>
      <c r="D5534" t="inlineStr">
        <is>
          <t>ÖSTERGÖTLANDS LÄN</t>
        </is>
      </c>
      <c r="E5534" t="inlineStr">
        <is>
          <t>YDRE</t>
        </is>
      </c>
      <c r="G5534" t="n">
        <v>0.8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s="2" t="inlineStr"/>
    </row>
    <row r="5535" ht="15" customHeight="1">
      <c r="A5535" t="inlineStr">
        <is>
          <t>A 30159-2023</t>
        </is>
      </c>
      <c r="B5535" s="1" t="n">
        <v>45110</v>
      </c>
      <c r="C5535" s="1" t="n">
        <v>45211</v>
      </c>
      <c r="D5535" t="inlineStr">
        <is>
          <t>ÖSTERGÖTLANDS LÄN</t>
        </is>
      </c>
      <c r="E5535" t="inlineStr">
        <is>
          <t>NORRKÖPING</t>
        </is>
      </c>
      <c r="G5535" t="n">
        <v>5.5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s="2" t="inlineStr"/>
    </row>
    <row r="5536" ht="15" customHeight="1">
      <c r="A5536" t="inlineStr">
        <is>
          <t>A 30243-2023</t>
        </is>
      </c>
      <c r="B5536" s="1" t="n">
        <v>45110</v>
      </c>
      <c r="C5536" s="1" t="n">
        <v>45211</v>
      </c>
      <c r="D5536" t="inlineStr">
        <is>
          <t>ÖSTERGÖTLANDS LÄN</t>
        </is>
      </c>
      <c r="E5536" t="inlineStr">
        <is>
          <t>NORRKÖPING</t>
        </is>
      </c>
      <c r="F5536" t="inlineStr">
        <is>
          <t>Holmen skog AB</t>
        </is>
      </c>
      <c r="G5536" t="n">
        <v>2.5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s="2" t="inlineStr"/>
    </row>
    <row r="5537" ht="15" customHeight="1">
      <c r="A5537" t="inlineStr">
        <is>
          <t>A 32422-2023</t>
        </is>
      </c>
      <c r="B5537" s="1" t="n">
        <v>45110</v>
      </c>
      <c r="C5537" s="1" t="n">
        <v>45211</v>
      </c>
      <c r="D5537" t="inlineStr">
        <is>
          <t>ÖSTERGÖTLANDS LÄN</t>
        </is>
      </c>
      <c r="E5537" t="inlineStr">
        <is>
          <t>FINSPÅNG</t>
        </is>
      </c>
      <c r="G5537" t="n">
        <v>2.7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s="2" t="inlineStr"/>
    </row>
    <row r="5538" ht="15" customHeight="1">
      <c r="A5538" t="inlineStr">
        <is>
          <t>A 32431-2023</t>
        </is>
      </c>
      <c r="B5538" s="1" t="n">
        <v>45110</v>
      </c>
      <c r="C5538" s="1" t="n">
        <v>45211</v>
      </c>
      <c r="D5538" t="inlineStr">
        <is>
          <t>ÖSTERGÖTLANDS LÄN</t>
        </is>
      </c>
      <c r="E5538" t="inlineStr">
        <is>
          <t>FINSPÅNG</t>
        </is>
      </c>
      <c r="G5538" t="n">
        <v>2.2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s="2" t="inlineStr"/>
    </row>
    <row r="5539" ht="15" customHeight="1">
      <c r="A5539" t="inlineStr">
        <is>
          <t>A 30062-2023</t>
        </is>
      </c>
      <c r="B5539" s="1" t="n">
        <v>45110</v>
      </c>
      <c r="C5539" s="1" t="n">
        <v>45211</v>
      </c>
      <c r="D5539" t="inlineStr">
        <is>
          <t>ÖSTERGÖTLANDS LÄN</t>
        </is>
      </c>
      <c r="E5539" t="inlineStr">
        <is>
          <t>NORRKÖPING</t>
        </is>
      </c>
      <c r="F5539" t="inlineStr">
        <is>
          <t>Holmen skog AB</t>
        </is>
      </c>
      <c r="G5539" t="n">
        <v>0.6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s="2" t="inlineStr"/>
    </row>
    <row r="5540" ht="15" customHeight="1">
      <c r="A5540" t="inlineStr">
        <is>
          <t>A 30126-2023</t>
        </is>
      </c>
      <c r="B5540" s="1" t="n">
        <v>45110</v>
      </c>
      <c r="C5540" s="1" t="n">
        <v>45211</v>
      </c>
      <c r="D5540" t="inlineStr">
        <is>
          <t>ÖSTERGÖTLANDS LÄN</t>
        </is>
      </c>
      <c r="E5540" t="inlineStr">
        <is>
          <t>YDRE</t>
        </is>
      </c>
      <c r="G5540" t="n">
        <v>2.6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s="2" t="inlineStr"/>
    </row>
    <row r="5541" ht="15" customHeight="1">
      <c r="A5541" t="inlineStr">
        <is>
          <t>A 32534-2023</t>
        </is>
      </c>
      <c r="B5541" s="1" t="n">
        <v>45110</v>
      </c>
      <c r="C5541" s="1" t="n">
        <v>45211</v>
      </c>
      <c r="D5541" t="inlineStr">
        <is>
          <t>ÖSTERGÖTLANDS LÄN</t>
        </is>
      </c>
      <c r="E5541" t="inlineStr">
        <is>
          <t>FINSPÅNG</t>
        </is>
      </c>
      <c r="G5541" t="n">
        <v>5.1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s="2" t="inlineStr"/>
    </row>
    <row r="5542" ht="15" customHeight="1">
      <c r="A5542" t="inlineStr">
        <is>
          <t>A 30377-2023</t>
        </is>
      </c>
      <c r="B5542" s="1" t="n">
        <v>45111</v>
      </c>
      <c r="C5542" s="1" t="n">
        <v>45211</v>
      </c>
      <c r="D5542" t="inlineStr">
        <is>
          <t>ÖSTERGÖTLANDS LÄN</t>
        </is>
      </c>
      <c r="E5542" t="inlineStr">
        <is>
          <t>MOTALA</t>
        </is>
      </c>
      <c r="G5542" t="n">
        <v>0.5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s="2" t="inlineStr"/>
    </row>
    <row r="5543" ht="15" customHeight="1">
      <c r="A5543" t="inlineStr">
        <is>
          <t>A 30461-2023</t>
        </is>
      </c>
      <c r="B5543" s="1" t="n">
        <v>45111</v>
      </c>
      <c r="C5543" s="1" t="n">
        <v>45211</v>
      </c>
      <c r="D5543" t="inlineStr">
        <is>
          <t>ÖSTERGÖTLANDS LÄN</t>
        </is>
      </c>
      <c r="E5543" t="inlineStr">
        <is>
          <t>KINDA</t>
        </is>
      </c>
      <c r="G5543" t="n">
        <v>2.2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s="2" t="inlineStr"/>
    </row>
    <row r="5544" ht="15" customHeight="1">
      <c r="A5544" t="inlineStr">
        <is>
          <t>A 30481-2023</t>
        </is>
      </c>
      <c r="B5544" s="1" t="n">
        <v>45111</v>
      </c>
      <c r="C5544" s="1" t="n">
        <v>45211</v>
      </c>
      <c r="D5544" t="inlineStr">
        <is>
          <t>ÖSTERGÖTLANDS LÄN</t>
        </is>
      </c>
      <c r="E5544" t="inlineStr">
        <is>
          <t>LINKÖPING</t>
        </is>
      </c>
      <c r="F5544" t="inlineStr">
        <is>
          <t>Övriga Aktiebolag</t>
        </is>
      </c>
      <c r="G5544" t="n">
        <v>2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s="2" t="inlineStr"/>
    </row>
    <row r="5545" ht="15" customHeight="1">
      <c r="A5545" t="inlineStr">
        <is>
          <t>A 30459-2023</t>
        </is>
      </c>
      <c r="B5545" s="1" t="n">
        <v>45111</v>
      </c>
      <c r="C5545" s="1" t="n">
        <v>45211</v>
      </c>
      <c r="D5545" t="inlineStr">
        <is>
          <t>ÖSTERGÖTLANDS LÄN</t>
        </is>
      </c>
      <c r="E5545" t="inlineStr">
        <is>
          <t>KINDA</t>
        </is>
      </c>
      <c r="G5545" t="n">
        <v>3.1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s="2" t="inlineStr"/>
    </row>
    <row r="5546" ht="15" customHeight="1">
      <c r="A5546" t="inlineStr">
        <is>
          <t>A 30551-2023</t>
        </is>
      </c>
      <c r="B5546" s="1" t="n">
        <v>45111</v>
      </c>
      <c r="C5546" s="1" t="n">
        <v>45211</v>
      </c>
      <c r="D5546" t="inlineStr">
        <is>
          <t>ÖSTERGÖTLANDS LÄN</t>
        </is>
      </c>
      <c r="E5546" t="inlineStr">
        <is>
          <t>LINKÖPING</t>
        </is>
      </c>
      <c r="G5546" t="n">
        <v>0.6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s="2" t="inlineStr"/>
    </row>
    <row r="5547" ht="15" customHeight="1">
      <c r="A5547" t="inlineStr">
        <is>
          <t>A 30465-2023</t>
        </is>
      </c>
      <c r="B5547" s="1" t="n">
        <v>45111</v>
      </c>
      <c r="C5547" s="1" t="n">
        <v>45211</v>
      </c>
      <c r="D5547" t="inlineStr">
        <is>
          <t>ÖSTERGÖTLANDS LÄN</t>
        </is>
      </c>
      <c r="E5547" t="inlineStr">
        <is>
          <t>LINKÖPING</t>
        </is>
      </c>
      <c r="F5547" t="inlineStr">
        <is>
          <t>Övriga Aktiebolag</t>
        </is>
      </c>
      <c r="G5547" t="n">
        <v>0.7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s="2" t="inlineStr"/>
    </row>
    <row r="5548" ht="15" customHeight="1">
      <c r="A5548" t="inlineStr">
        <is>
          <t>A 32610-2023</t>
        </is>
      </c>
      <c r="B5548" s="1" t="n">
        <v>45111</v>
      </c>
      <c r="C5548" s="1" t="n">
        <v>45211</v>
      </c>
      <c r="D5548" t="inlineStr">
        <is>
          <t>ÖSTERGÖTLANDS LÄN</t>
        </is>
      </c>
      <c r="E5548" t="inlineStr">
        <is>
          <t>KINDA</t>
        </is>
      </c>
      <c r="G5548" t="n">
        <v>8.9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s="2" t="inlineStr"/>
    </row>
    <row r="5549" ht="15" customHeight="1">
      <c r="A5549" t="inlineStr">
        <is>
          <t>A 30598-2023</t>
        </is>
      </c>
      <c r="B5549" s="1" t="n">
        <v>45112</v>
      </c>
      <c r="C5549" s="1" t="n">
        <v>45211</v>
      </c>
      <c r="D5549" t="inlineStr">
        <is>
          <t>ÖSTERGÖTLANDS LÄN</t>
        </is>
      </c>
      <c r="E5549" t="inlineStr">
        <is>
          <t>NORRKÖPING</t>
        </is>
      </c>
      <c r="G5549" t="n">
        <v>2.6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s="2" t="inlineStr"/>
    </row>
    <row r="5550" ht="15" customHeight="1">
      <c r="A5550" t="inlineStr">
        <is>
          <t>A 30782-2023</t>
        </is>
      </c>
      <c r="B5550" s="1" t="n">
        <v>45112</v>
      </c>
      <c r="C5550" s="1" t="n">
        <v>45211</v>
      </c>
      <c r="D5550" t="inlineStr">
        <is>
          <t>ÖSTERGÖTLANDS LÄN</t>
        </is>
      </c>
      <c r="E5550" t="inlineStr">
        <is>
          <t>NORRKÖPING</t>
        </is>
      </c>
      <c r="G5550" t="n">
        <v>3.7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s="2" t="inlineStr"/>
    </row>
    <row r="5551" ht="15" customHeight="1">
      <c r="A5551" t="inlineStr">
        <is>
          <t>A 30649-2023</t>
        </is>
      </c>
      <c r="B5551" s="1" t="n">
        <v>45112</v>
      </c>
      <c r="C5551" s="1" t="n">
        <v>45211</v>
      </c>
      <c r="D5551" t="inlineStr">
        <is>
          <t>ÖSTERGÖTLANDS LÄN</t>
        </is>
      </c>
      <c r="E5551" t="inlineStr">
        <is>
          <t>ÅTVIDABERG</t>
        </is>
      </c>
      <c r="F5551" t="inlineStr">
        <is>
          <t>Övriga Aktiebolag</t>
        </is>
      </c>
      <c r="G5551" t="n">
        <v>6.8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s="2" t="inlineStr"/>
    </row>
    <row r="5552" ht="15" customHeight="1">
      <c r="A5552" t="inlineStr">
        <is>
          <t>A 30606-2023</t>
        </is>
      </c>
      <c r="B5552" s="1" t="n">
        <v>45112</v>
      </c>
      <c r="C5552" s="1" t="n">
        <v>45211</v>
      </c>
      <c r="D5552" t="inlineStr">
        <is>
          <t>ÖSTERGÖTLANDS LÄN</t>
        </is>
      </c>
      <c r="E5552" t="inlineStr">
        <is>
          <t>MOTALA</t>
        </is>
      </c>
      <c r="G5552" t="n">
        <v>1.9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s="2" t="inlineStr"/>
    </row>
    <row r="5553" ht="15" customHeight="1">
      <c r="A5553" t="inlineStr">
        <is>
          <t>A 30784-2023</t>
        </is>
      </c>
      <c r="B5553" s="1" t="n">
        <v>45112</v>
      </c>
      <c r="C5553" s="1" t="n">
        <v>45211</v>
      </c>
      <c r="D5553" t="inlineStr">
        <is>
          <t>ÖSTERGÖTLANDS LÄN</t>
        </is>
      </c>
      <c r="E5553" t="inlineStr">
        <is>
          <t>NORRKÖPING</t>
        </is>
      </c>
      <c r="G5553" t="n">
        <v>4.2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s="2" t="inlineStr"/>
    </row>
    <row r="5554" ht="15" customHeight="1">
      <c r="A5554" t="inlineStr">
        <is>
          <t>A 30905-2023</t>
        </is>
      </c>
      <c r="B5554" s="1" t="n">
        <v>45113</v>
      </c>
      <c r="C5554" s="1" t="n">
        <v>45211</v>
      </c>
      <c r="D5554" t="inlineStr">
        <is>
          <t>ÖSTERGÖTLANDS LÄN</t>
        </is>
      </c>
      <c r="E5554" t="inlineStr">
        <is>
          <t>LINKÖPING</t>
        </is>
      </c>
      <c r="G5554" t="n">
        <v>2.5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s="2" t="inlineStr"/>
    </row>
    <row r="5555" ht="15" customHeight="1">
      <c r="A5555" t="inlineStr">
        <is>
          <t>A 31275-2023</t>
        </is>
      </c>
      <c r="B5555" s="1" t="n">
        <v>45114</v>
      </c>
      <c r="C5555" s="1" t="n">
        <v>45211</v>
      </c>
      <c r="D5555" t="inlineStr">
        <is>
          <t>ÖSTERGÖTLANDS LÄN</t>
        </is>
      </c>
      <c r="E5555" t="inlineStr">
        <is>
          <t>LINKÖPING</t>
        </is>
      </c>
      <c r="G5555" t="n">
        <v>0.7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s="2" t="inlineStr"/>
    </row>
    <row r="5556" ht="15" customHeight="1">
      <c r="A5556" t="inlineStr">
        <is>
          <t>A 31461-2023</t>
        </is>
      </c>
      <c r="B5556" s="1" t="n">
        <v>45114</v>
      </c>
      <c r="C5556" s="1" t="n">
        <v>45211</v>
      </c>
      <c r="D5556" t="inlineStr">
        <is>
          <t>ÖSTERGÖTLANDS LÄN</t>
        </is>
      </c>
      <c r="E5556" t="inlineStr">
        <is>
          <t>ÅTVIDABERG</t>
        </is>
      </c>
      <c r="G5556" t="n">
        <v>6.2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s="2" t="inlineStr"/>
    </row>
    <row r="5557" ht="15" customHeight="1">
      <c r="A5557" t="inlineStr">
        <is>
          <t>A 31361-2023</t>
        </is>
      </c>
      <c r="B5557" s="1" t="n">
        <v>45114</v>
      </c>
      <c r="C5557" s="1" t="n">
        <v>45211</v>
      </c>
      <c r="D5557" t="inlineStr">
        <is>
          <t>ÖSTERGÖTLANDS LÄN</t>
        </is>
      </c>
      <c r="E5557" t="inlineStr">
        <is>
          <t>NORRKÖPING</t>
        </is>
      </c>
      <c r="G5557" t="n">
        <v>2.8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s="2" t="inlineStr"/>
    </row>
    <row r="5558" ht="15" customHeight="1">
      <c r="A5558" t="inlineStr">
        <is>
          <t>A 31365-2023</t>
        </is>
      </c>
      <c r="B5558" s="1" t="n">
        <v>45114</v>
      </c>
      <c r="C5558" s="1" t="n">
        <v>45211</v>
      </c>
      <c r="D5558" t="inlineStr">
        <is>
          <t>ÖSTERGÖTLANDS LÄN</t>
        </is>
      </c>
      <c r="E5558" t="inlineStr">
        <is>
          <t>NORRKÖPING</t>
        </is>
      </c>
      <c r="F5558" t="inlineStr">
        <is>
          <t>Holmen skog AB</t>
        </is>
      </c>
      <c r="G5558" t="n">
        <v>0.6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s="2" t="inlineStr"/>
    </row>
    <row r="5559" ht="15" customHeight="1">
      <c r="A5559" t="inlineStr">
        <is>
          <t>A 31370-2023</t>
        </is>
      </c>
      <c r="B5559" s="1" t="n">
        <v>45114</v>
      </c>
      <c r="C5559" s="1" t="n">
        <v>45211</v>
      </c>
      <c r="D5559" t="inlineStr">
        <is>
          <t>ÖSTERGÖTLANDS LÄN</t>
        </is>
      </c>
      <c r="E5559" t="inlineStr">
        <is>
          <t>NORRKÖPING</t>
        </is>
      </c>
      <c r="F5559" t="inlineStr">
        <is>
          <t>Holmen skog AB</t>
        </is>
      </c>
      <c r="G5559" t="n">
        <v>6.4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s="2" t="inlineStr"/>
    </row>
    <row r="5560" ht="15" customHeight="1">
      <c r="A5560" t="inlineStr">
        <is>
          <t>A 31430-2023</t>
        </is>
      </c>
      <c r="B5560" s="1" t="n">
        <v>45114</v>
      </c>
      <c r="C5560" s="1" t="n">
        <v>45211</v>
      </c>
      <c r="D5560" t="inlineStr">
        <is>
          <t>ÖSTERGÖTLANDS LÄN</t>
        </is>
      </c>
      <c r="E5560" t="inlineStr">
        <is>
          <t>MOTALA</t>
        </is>
      </c>
      <c r="G5560" t="n">
        <v>1.5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s="2" t="inlineStr"/>
    </row>
    <row r="5561" ht="15" customHeight="1">
      <c r="A5561" t="inlineStr">
        <is>
          <t>A 31276-2023</t>
        </is>
      </c>
      <c r="B5561" s="1" t="n">
        <v>45114</v>
      </c>
      <c r="C5561" s="1" t="n">
        <v>45211</v>
      </c>
      <c r="D5561" t="inlineStr">
        <is>
          <t>ÖSTERGÖTLANDS LÄN</t>
        </is>
      </c>
      <c r="E5561" t="inlineStr">
        <is>
          <t>MOTALA</t>
        </is>
      </c>
      <c r="G5561" t="n">
        <v>1.7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s="2" t="inlineStr"/>
    </row>
    <row r="5562" ht="15" customHeight="1">
      <c r="A5562" t="inlineStr">
        <is>
          <t>A 31359-2023</t>
        </is>
      </c>
      <c r="B5562" s="1" t="n">
        <v>45114</v>
      </c>
      <c r="C5562" s="1" t="n">
        <v>45211</v>
      </c>
      <c r="D5562" t="inlineStr">
        <is>
          <t>ÖSTERGÖTLANDS LÄN</t>
        </is>
      </c>
      <c r="E5562" t="inlineStr">
        <is>
          <t>NORRKÖPING</t>
        </is>
      </c>
      <c r="F5562" t="inlineStr">
        <is>
          <t>Holmen skog AB</t>
        </is>
      </c>
      <c r="G5562" t="n">
        <v>1.6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s="2" t="inlineStr"/>
    </row>
    <row r="5563" ht="15" customHeight="1">
      <c r="A5563" t="inlineStr">
        <is>
          <t>A 31458-2023</t>
        </is>
      </c>
      <c r="B5563" s="1" t="n">
        <v>45114</v>
      </c>
      <c r="C5563" s="1" t="n">
        <v>45211</v>
      </c>
      <c r="D5563" t="inlineStr">
        <is>
          <t>ÖSTERGÖTLANDS LÄN</t>
        </is>
      </c>
      <c r="E5563" t="inlineStr">
        <is>
          <t>ÅTVIDABERG</t>
        </is>
      </c>
      <c r="G5563" t="n">
        <v>1.7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s="2" t="inlineStr"/>
    </row>
    <row r="5564" ht="15" customHeight="1">
      <c r="A5564" t="inlineStr">
        <is>
          <t>A 31249-2023</t>
        </is>
      </c>
      <c r="B5564" s="1" t="n">
        <v>45114</v>
      </c>
      <c r="C5564" s="1" t="n">
        <v>45211</v>
      </c>
      <c r="D5564" t="inlineStr">
        <is>
          <t>ÖSTERGÖTLANDS LÄN</t>
        </is>
      </c>
      <c r="E5564" t="inlineStr">
        <is>
          <t>KINDA</t>
        </is>
      </c>
      <c r="G5564" t="n">
        <v>3.1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s="2" t="inlineStr"/>
    </row>
    <row r="5565" ht="15" customHeight="1">
      <c r="A5565" t="inlineStr">
        <is>
          <t>A 31362-2023</t>
        </is>
      </c>
      <c r="B5565" s="1" t="n">
        <v>45114</v>
      </c>
      <c r="C5565" s="1" t="n">
        <v>45211</v>
      </c>
      <c r="D5565" t="inlineStr">
        <is>
          <t>ÖSTERGÖTLANDS LÄN</t>
        </is>
      </c>
      <c r="E5565" t="inlineStr">
        <is>
          <t>NORRKÖPING</t>
        </is>
      </c>
      <c r="G5565" t="n">
        <v>2.1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s="2" t="inlineStr"/>
    </row>
    <row r="5566" ht="15" customHeight="1">
      <c r="A5566" t="inlineStr">
        <is>
          <t>A 31419-2023</t>
        </is>
      </c>
      <c r="B5566" s="1" t="n">
        <v>45114</v>
      </c>
      <c r="C5566" s="1" t="n">
        <v>45211</v>
      </c>
      <c r="D5566" t="inlineStr">
        <is>
          <t>ÖSTERGÖTLANDS LÄN</t>
        </is>
      </c>
      <c r="E5566" t="inlineStr">
        <is>
          <t>NORRKÖPING</t>
        </is>
      </c>
      <c r="F5566" t="inlineStr">
        <is>
          <t>Holmen skog AB</t>
        </is>
      </c>
      <c r="G5566" t="n">
        <v>1.1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s="2" t="inlineStr"/>
    </row>
    <row r="5567" ht="15" customHeight="1">
      <c r="A5567" t="inlineStr">
        <is>
          <t>A 31460-2023</t>
        </is>
      </c>
      <c r="B5567" s="1" t="n">
        <v>45114</v>
      </c>
      <c r="C5567" s="1" t="n">
        <v>45211</v>
      </c>
      <c r="D5567" t="inlineStr">
        <is>
          <t>ÖSTERGÖTLANDS LÄN</t>
        </is>
      </c>
      <c r="E5567" t="inlineStr">
        <is>
          <t>ÅTVIDABERG</t>
        </is>
      </c>
      <c r="G5567" t="n">
        <v>4.1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s="2" t="inlineStr"/>
    </row>
    <row r="5568" ht="15" customHeight="1">
      <c r="A5568" t="inlineStr">
        <is>
          <t>A 31533-2023</t>
        </is>
      </c>
      <c r="B5568" s="1" t="n">
        <v>45116</v>
      </c>
      <c r="C5568" s="1" t="n">
        <v>45211</v>
      </c>
      <c r="D5568" t="inlineStr">
        <is>
          <t>ÖSTERGÖTLANDS LÄN</t>
        </is>
      </c>
      <c r="E5568" t="inlineStr">
        <is>
          <t>LINKÖPING</t>
        </is>
      </c>
      <c r="G5568" t="n">
        <v>9.300000000000001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s="2" t="inlineStr"/>
    </row>
    <row r="5569" ht="15" customHeight="1">
      <c r="A5569" t="inlineStr">
        <is>
          <t>A 31527-2023</t>
        </is>
      </c>
      <c r="B5569" s="1" t="n">
        <v>45116</v>
      </c>
      <c r="C5569" s="1" t="n">
        <v>45211</v>
      </c>
      <c r="D5569" t="inlineStr">
        <is>
          <t>ÖSTERGÖTLANDS LÄN</t>
        </is>
      </c>
      <c r="E5569" t="inlineStr">
        <is>
          <t>KINDA</t>
        </is>
      </c>
      <c r="G5569" t="n">
        <v>0.7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s="2" t="inlineStr"/>
    </row>
    <row r="5570" ht="15" customHeight="1">
      <c r="A5570" t="inlineStr">
        <is>
          <t>A 31534-2023</t>
        </is>
      </c>
      <c r="B5570" s="1" t="n">
        <v>45116</v>
      </c>
      <c r="C5570" s="1" t="n">
        <v>45211</v>
      </c>
      <c r="D5570" t="inlineStr">
        <is>
          <t>ÖSTERGÖTLANDS LÄN</t>
        </is>
      </c>
      <c r="E5570" t="inlineStr">
        <is>
          <t>LINKÖPING</t>
        </is>
      </c>
      <c r="G5570" t="n">
        <v>1.5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s="2" t="inlineStr"/>
    </row>
    <row r="5571" ht="15" customHeight="1">
      <c r="A5571" t="inlineStr">
        <is>
          <t>A 31582-2023</t>
        </is>
      </c>
      <c r="B5571" s="1" t="n">
        <v>45117</v>
      </c>
      <c r="C5571" s="1" t="n">
        <v>45211</v>
      </c>
      <c r="D5571" t="inlineStr">
        <is>
          <t>ÖSTERGÖTLANDS LÄN</t>
        </is>
      </c>
      <c r="E5571" t="inlineStr">
        <is>
          <t>NORRKÖPING</t>
        </is>
      </c>
      <c r="F5571" t="inlineStr">
        <is>
          <t>Holmen skog AB</t>
        </is>
      </c>
      <c r="G5571" t="n">
        <v>0.9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s="2" t="inlineStr"/>
    </row>
    <row r="5572" ht="15" customHeight="1">
      <c r="A5572" t="inlineStr">
        <is>
          <t>A 31663-2023</t>
        </is>
      </c>
      <c r="B5572" s="1" t="n">
        <v>45117</v>
      </c>
      <c r="C5572" s="1" t="n">
        <v>45211</v>
      </c>
      <c r="D5572" t="inlineStr">
        <is>
          <t>ÖSTERGÖTLANDS LÄN</t>
        </is>
      </c>
      <c r="E5572" t="inlineStr">
        <is>
          <t>NORRKÖPING</t>
        </is>
      </c>
      <c r="F5572" t="inlineStr">
        <is>
          <t>Holmen skog AB</t>
        </is>
      </c>
      <c r="G5572" t="n">
        <v>0.9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s="2" t="inlineStr"/>
    </row>
    <row r="5573" ht="15" customHeight="1">
      <c r="A5573" t="inlineStr">
        <is>
          <t>A 31675-2023</t>
        </is>
      </c>
      <c r="B5573" s="1" t="n">
        <v>45117</v>
      </c>
      <c r="C5573" s="1" t="n">
        <v>45211</v>
      </c>
      <c r="D5573" t="inlineStr">
        <is>
          <t>ÖSTERGÖTLANDS LÄN</t>
        </is>
      </c>
      <c r="E5573" t="inlineStr">
        <is>
          <t>BOXHOLM</t>
        </is>
      </c>
      <c r="F5573" t="inlineStr">
        <is>
          <t>Övriga Aktiebolag</t>
        </is>
      </c>
      <c r="G5573" t="n">
        <v>2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s="2" t="inlineStr"/>
    </row>
    <row r="5574" ht="15" customHeight="1">
      <c r="A5574" t="inlineStr">
        <is>
          <t>A 31542-2023</t>
        </is>
      </c>
      <c r="B5574" s="1" t="n">
        <v>45117</v>
      </c>
      <c r="C5574" s="1" t="n">
        <v>45211</v>
      </c>
      <c r="D5574" t="inlineStr">
        <is>
          <t>ÖSTERGÖTLANDS LÄN</t>
        </is>
      </c>
      <c r="E5574" t="inlineStr">
        <is>
          <t>YDRE</t>
        </is>
      </c>
      <c r="F5574" t="inlineStr">
        <is>
          <t>Övriga Aktiebolag</t>
        </is>
      </c>
      <c r="G5574" t="n">
        <v>1.3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s="2" t="inlineStr"/>
    </row>
    <row r="5575" ht="15" customHeight="1">
      <c r="A5575" t="inlineStr">
        <is>
          <t>A 31640-2023</t>
        </is>
      </c>
      <c r="B5575" s="1" t="n">
        <v>45117</v>
      </c>
      <c r="C5575" s="1" t="n">
        <v>45211</v>
      </c>
      <c r="D5575" t="inlineStr">
        <is>
          <t>ÖSTERGÖTLANDS LÄN</t>
        </is>
      </c>
      <c r="E5575" t="inlineStr">
        <is>
          <t>LINKÖPING</t>
        </is>
      </c>
      <c r="G5575" t="n">
        <v>0.5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s="2" t="inlineStr"/>
    </row>
    <row r="5576" ht="15" customHeight="1">
      <c r="A5576" t="inlineStr">
        <is>
          <t>A 31659-2023</t>
        </is>
      </c>
      <c r="B5576" s="1" t="n">
        <v>45117</v>
      </c>
      <c r="C5576" s="1" t="n">
        <v>45211</v>
      </c>
      <c r="D5576" t="inlineStr">
        <is>
          <t>ÖSTERGÖTLANDS LÄN</t>
        </is>
      </c>
      <c r="E5576" t="inlineStr">
        <is>
          <t>NORRKÖPING</t>
        </is>
      </c>
      <c r="F5576" t="inlineStr">
        <is>
          <t>Holmen skog AB</t>
        </is>
      </c>
      <c r="G5576" t="n">
        <v>1.4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s="2" t="inlineStr"/>
    </row>
    <row r="5577" ht="15" customHeight="1">
      <c r="A5577" t="inlineStr">
        <is>
          <t>A 31637-2023</t>
        </is>
      </c>
      <c r="B5577" s="1" t="n">
        <v>45117</v>
      </c>
      <c r="C5577" s="1" t="n">
        <v>45211</v>
      </c>
      <c r="D5577" t="inlineStr">
        <is>
          <t>ÖSTERGÖTLANDS LÄN</t>
        </is>
      </c>
      <c r="E5577" t="inlineStr">
        <is>
          <t>NORRKÖPING</t>
        </is>
      </c>
      <c r="F5577" t="inlineStr">
        <is>
          <t>Holmen skog AB</t>
        </is>
      </c>
      <c r="G5577" t="n">
        <v>1.6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s="2" t="inlineStr"/>
    </row>
    <row r="5578" ht="15" customHeight="1">
      <c r="A5578" t="inlineStr">
        <is>
          <t>A 31653-2023</t>
        </is>
      </c>
      <c r="B5578" s="1" t="n">
        <v>45117</v>
      </c>
      <c r="C5578" s="1" t="n">
        <v>45211</v>
      </c>
      <c r="D5578" t="inlineStr">
        <is>
          <t>ÖSTERGÖTLANDS LÄN</t>
        </is>
      </c>
      <c r="E5578" t="inlineStr">
        <is>
          <t>NORRKÖPING</t>
        </is>
      </c>
      <c r="F5578" t="inlineStr">
        <is>
          <t>Holmen skog AB</t>
        </is>
      </c>
      <c r="G5578" t="n">
        <v>0.8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s="2" t="inlineStr"/>
    </row>
    <row r="5579" ht="15" customHeight="1">
      <c r="A5579" t="inlineStr">
        <is>
          <t>A 31668-2023</t>
        </is>
      </c>
      <c r="B5579" s="1" t="n">
        <v>45117</v>
      </c>
      <c r="C5579" s="1" t="n">
        <v>45211</v>
      </c>
      <c r="D5579" t="inlineStr">
        <is>
          <t>ÖSTERGÖTLANDS LÄN</t>
        </is>
      </c>
      <c r="E5579" t="inlineStr">
        <is>
          <t>NORRKÖPING</t>
        </is>
      </c>
      <c r="F5579" t="inlineStr">
        <is>
          <t>Holmen skog AB</t>
        </is>
      </c>
      <c r="G5579" t="n">
        <v>0.6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s="2" t="inlineStr"/>
    </row>
    <row r="5580" ht="15" customHeight="1">
      <c r="A5580" t="inlineStr">
        <is>
          <t>A 31801-2023</t>
        </is>
      </c>
      <c r="B5580" s="1" t="n">
        <v>45118</v>
      </c>
      <c r="C5580" s="1" t="n">
        <v>45211</v>
      </c>
      <c r="D5580" t="inlineStr">
        <is>
          <t>ÖSTERGÖTLANDS LÄN</t>
        </is>
      </c>
      <c r="E5580" t="inlineStr">
        <is>
          <t>FINSPÅNG</t>
        </is>
      </c>
      <c r="G5580" t="n">
        <v>5.1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s="2" t="inlineStr"/>
    </row>
    <row r="5581" ht="15" customHeight="1">
      <c r="A5581" t="inlineStr">
        <is>
          <t>A 31887-2023</t>
        </is>
      </c>
      <c r="B5581" s="1" t="n">
        <v>45118</v>
      </c>
      <c r="C5581" s="1" t="n">
        <v>45211</v>
      </c>
      <c r="D5581" t="inlineStr">
        <is>
          <t>ÖSTERGÖTLANDS LÄN</t>
        </is>
      </c>
      <c r="E5581" t="inlineStr">
        <is>
          <t>NORRKÖPING</t>
        </is>
      </c>
      <c r="G5581" t="n">
        <v>0.5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s="2" t="inlineStr"/>
    </row>
    <row r="5582" ht="15" customHeight="1">
      <c r="A5582" t="inlineStr">
        <is>
          <t>A 31882-2023</t>
        </is>
      </c>
      <c r="B5582" s="1" t="n">
        <v>45118</v>
      </c>
      <c r="C5582" s="1" t="n">
        <v>45211</v>
      </c>
      <c r="D5582" t="inlineStr">
        <is>
          <t>ÖSTERGÖTLANDS LÄN</t>
        </is>
      </c>
      <c r="E5582" t="inlineStr">
        <is>
          <t>NORRKÖPING</t>
        </is>
      </c>
      <c r="G5582" t="n">
        <v>0.7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s="2" t="inlineStr"/>
    </row>
    <row r="5583" ht="15" customHeight="1">
      <c r="A5583" t="inlineStr">
        <is>
          <t>A 31797-2023</t>
        </is>
      </c>
      <c r="B5583" s="1" t="n">
        <v>45118</v>
      </c>
      <c r="C5583" s="1" t="n">
        <v>45211</v>
      </c>
      <c r="D5583" t="inlineStr">
        <is>
          <t>ÖSTERGÖTLANDS LÄN</t>
        </is>
      </c>
      <c r="E5583" t="inlineStr">
        <is>
          <t>YDRE</t>
        </is>
      </c>
      <c r="F5583" t="inlineStr">
        <is>
          <t>Övriga Aktiebolag</t>
        </is>
      </c>
      <c r="G5583" t="n">
        <v>5.1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s="2" t="inlineStr"/>
    </row>
    <row r="5584" ht="15" customHeight="1">
      <c r="A5584" t="inlineStr">
        <is>
          <t>A 31883-2023</t>
        </is>
      </c>
      <c r="B5584" s="1" t="n">
        <v>45118</v>
      </c>
      <c r="C5584" s="1" t="n">
        <v>45211</v>
      </c>
      <c r="D5584" t="inlineStr">
        <is>
          <t>ÖSTERGÖTLANDS LÄN</t>
        </is>
      </c>
      <c r="E5584" t="inlineStr">
        <is>
          <t>NORRKÖPING</t>
        </is>
      </c>
      <c r="G5584" t="n">
        <v>1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s="2" t="inlineStr"/>
    </row>
    <row r="5585" ht="15" customHeight="1">
      <c r="A5585" t="inlineStr">
        <is>
          <t>A 33536-2023</t>
        </is>
      </c>
      <c r="B5585" s="1" t="n">
        <v>45118</v>
      </c>
      <c r="C5585" s="1" t="n">
        <v>45211</v>
      </c>
      <c r="D5585" t="inlineStr">
        <is>
          <t>ÖSTERGÖTLANDS LÄN</t>
        </is>
      </c>
      <c r="E5585" t="inlineStr">
        <is>
          <t>ÅTVIDABERG</t>
        </is>
      </c>
      <c r="G5585" t="n">
        <v>6.1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s="2" t="inlineStr"/>
    </row>
    <row r="5586" ht="15" customHeight="1">
      <c r="A5586" t="inlineStr">
        <is>
          <t>A 33542-2023</t>
        </is>
      </c>
      <c r="B5586" s="1" t="n">
        <v>45118</v>
      </c>
      <c r="C5586" s="1" t="n">
        <v>45211</v>
      </c>
      <c r="D5586" t="inlineStr">
        <is>
          <t>ÖSTERGÖTLANDS LÄN</t>
        </is>
      </c>
      <c r="E5586" t="inlineStr">
        <is>
          <t>ÅTVIDABERG</t>
        </is>
      </c>
      <c r="G5586" t="n">
        <v>1.5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s="2" t="inlineStr"/>
    </row>
    <row r="5587" ht="15" customHeight="1">
      <c r="A5587" t="inlineStr">
        <is>
          <t>A 33540-2023</t>
        </is>
      </c>
      <c r="B5587" s="1" t="n">
        <v>45118</v>
      </c>
      <c r="C5587" s="1" t="n">
        <v>45211</v>
      </c>
      <c r="D5587" t="inlineStr">
        <is>
          <t>ÖSTERGÖTLANDS LÄN</t>
        </is>
      </c>
      <c r="E5587" t="inlineStr">
        <is>
          <t>ÅTVIDABERG</t>
        </is>
      </c>
      <c r="G5587" t="n">
        <v>3.6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s="2" t="inlineStr"/>
    </row>
    <row r="5588" ht="15" customHeight="1">
      <c r="A5588" t="inlineStr">
        <is>
          <t>A 32048-2023</t>
        </is>
      </c>
      <c r="B5588" s="1" t="n">
        <v>45119</v>
      </c>
      <c r="C5588" s="1" t="n">
        <v>45211</v>
      </c>
      <c r="D5588" t="inlineStr">
        <is>
          <t>ÖSTERGÖTLANDS LÄN</t>
        </is>
      </c>
      <c r="E5588" t="inlineStr">
        <is>
          <t>YDRE</t>
        </is>
      </c>
      <c r="F5588" t="inlineStr">
        <is>
          <t>Sveaskog</t>
        </is>
      </c>
      <c r="G5588" t="n">
        <v>5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s="2" t="inlineStr"/>
    </row>
    <row r="5589" ht="15" customHeight="1">
      <c r="A5589" t="inlineStr">
        <is>
          <t>A 33726-2023</t>
        </is>
      </c>
      <c r="B5589" s="1" t="n">
        <v>45119</v>
      </c>
      <c r="C5589" s="1" t="n">
        <v>45211</v>
      </c>
      <c r="D5589" t="inlineStr">
        <is>
          <t>ÖSTERGÖTLANDS LÄN</t>
        </is>
      </c>
      <c r="E5589" t="inlineStr">
        <is>
          <t>SÖDERKÖPING</t>
        </is>
      </c>
      <c r="G5589" t="n">
        <v>1.2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s="2" t="inlineStr"/>
    </row>
    <row r="5590" ht="15" customHeight="1">
      <c r="A5590" t="inlineStr">
        <is>
          <t>A 33733-2023</t>
        </is>
      </c>
      <c r="B5590" s="1" t="n">
        <v>45119</v>
      </c>
      <c r="C5590" s="1" t="n">
        <v>45211</v>
      </c>
      <c r="D5590" t="inlineStr">
        <is>
          <t>ÖSTERGÖTLANDS LÄN</t>
        </is>
      </c>
      <c r="E5590" t="inlineStr">
        <is>
          <t>SÖDERKÖPING</t>
        </is>
      </c>
      <c r="G5590" t="n">
        <v>1.8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s="2" t="inlineStr"/>
    </row>
    <row r="5591" ht="15" customHeight="1">
      <c r="A5591" t="inlineStr">
        <is>
          <t>A 32036-2023</t>
        </is>
      </c>
      <c r="B5591" s="1" t="n">
        <v>45119</v>
      </c>
      <c r="C5591" s="1" t="n">
        <v>45211</v>
      </c>
      <c r="D5591" t="inlineStr">
        <is>
          <t>ÖSTERGÖTLANDS LÄN</t>
        </is>
      </c>
      <c r="E5591" t="inlineStr">
        <is>
          <t>YDRE</t>
        </is>
      </c>
      <c r="F5591" t="inlineStr">
        <is>
          <t>Sveaskog</t>
        </is>
      </c>
      <c r="G5591" t="n">
        <v>2.2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s="2" t="inlineStr"/>
    </row>
    <row r="5592" ht="15" customHeight="1">
      <c r="A5592" t="inlineStr">
        <is>
          <t>A 32043-2023</t>
        </is>
      </c>
      <c r="B5592" s="1" t="n">
        <v>45119</v>
      </c>
      <c r="C5592" s="1" t="n">
        <v>45211</v>
      </c>
      <c r="D5592" t="inlineStr">
        <is>
          <t>ÖSTERGÖTLANDS LÄN</t>
        </is>
      </c>
      <c r="E5592" t="inlineStr">
        <is>
          <t>YDRE</t>
        </is>
      </c>
      <c r="F5592" t="inlineStr">
        <is>
          <t>Sveaskog</t>
        </is>
      </c>
      <c r="G5592" t="n">
        <v>1.4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s="2" t="inlineStr"/>
    </row>
    <row r="5593" ht="15" customHeight="1">
      <c r="A5593" t="inlineStr">
        <is>
          <t>A 33727-2023</t>
        </is>
      </c>
      <c r="B5593" s="1" t="n">
        <v>45119</v>
      </c>
      <c r="C5593" s="1" t="n">
        <v>45211</v>
      </c>
      <c r="D5593" t="inlineStr">
        <is>
          <t>ÖSTERGÖTLANDS LÄN</t>
        </is>
      </c>
      <c r="E5593" t="inlineStr">
        <is>
          <t>SÖDERKÖPING</t>
        </is>
      </c>
      <c r="G5593" t="n">
        <v>5.3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s="2" t="inlineStr"/>
    </row>
    <row r="5594" ht="15" customHeight="1">
      <c r="A5594" t="inlineStr">
        <is>
          <t>A 33735-2023</t>
        </is>
      </c>
      <c r="B5594" s="1" t="n">
        <v>45119</v>
      </c>
      <c r="C5594" s="1" t="n">
        <v>45211</v>
      </c>
      <c r="D5594" t="inlineStr">
        <is>
          <t>ÖSTERGÖTLANDS LÄN</t>
        </is>
      </c>
      <c r="E5594" t="inlineStr">
        <is>
          <t>SÖDERKÖPING</t>
        </is>
      </c>
      <c r="G5594" t="n">
        <v>3.6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s="2" t="inlineStr"/>
    </row>
    <row r="5595" ht="15" customHeight="1">
      <c r="A5595" t="inlineStr">
        <is>
          <t>A 31955-2023</t>
        </is>
      </c>
      <c r="B5595" s="1" t="n">
        <v>45119</v>
      </c>
      <c r="C5595" s="1" t="n">
        <v>45211</v>
      </c>
      <c r="D5595" t="inlineStr">
        <is>
          <t>ÖSTERGÖTLANDS LÄN</t>
        </is>
      </c>
      <c r="E5595" t="inlineStr">
        <is>
          <t>YDRE</t>
        </is>
      </c>
      <c r="G5595" t="n">
        <v>2.2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s="2" t="inlineStr"/>
    </row>
    <row r="5596" ht="15" customHeight="1">
      <c r="A5596" t="inlineStr">
        <is>
          <t>A 31966-2023</t>
        </is>
      </c>
      <c r="B5596" s="1" t="n">
        <v>45119</v>
      </c>
      <c r="C5596" s="1" t="n">
        <v>45211</v>
      </c>
      <c r="D5596" t="inlineStr">
        <is>
          <t>ÖSTERGÖTLANDS LÄN</t>
        </is>
      </c>
      <c r="E5596" t="inlineStr">
        <is>
          <t>NORRKÖPING</t>
        </is>
      </c>
      <c r="F5596" t="inlineStr">
        <is>
          <t>Holmen skog AB</t>
        </is>
      </c>
      <c r="G5596" t="n">
        <v>0.5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s="2" t="inlineStr"/>
    </row>
    <row r="5597" ht="15" customHeight="1">
      <c r="A5597" t="inlineStr">
        <is>
          <t>A 33723-2023</t>
        </is>
      </c>
      <c r="B5597" s="1" t="n">
        <v>45119</v>
      </c>
      <c r="C5597" s="1" t="n">
        <v>45211</v>
      </c>
      <c r="D5597" t="inlineStr">
        <is>
          <t>ÖSTERGÖTLANDS LÄN</t>
        </is>
      </c>
      <c r="E5597" t="inlineStr">
        <is>
          <t>SÖDERKÖPING</t>
        </is>
      </c>
      <c r="G5597" t="n">
        <v>4.2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s="2" t="inlineStr"/>
    </row>
    <row r="5598" ht="15" customHeight="1">
      <c r="A5598" t="inlineStr">
        <is>
          <t>A 33730-2023</t>
        </is>
      </c>
      <c r="B5598" s="1" t="n">
        <v>45119</v>
      </c>
      <c r="C5598" s="1" t="n">
        <v>45211</v>
      </c>
      <c r="D5598" t="inlineStr">
        <is>
          <t>ÖSTERGÖTLANDS LÄN</t>
        </is>
      </c>
      <c r="E5598" t="inlineStr">
        <is>
          <t>SÖDERKÖPING</t>
        </is>
      </c>
      <c r="G5598" t="n">
        <v>1.1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s="2" t="inlineStr"/>
    </row>
    <row r="5599" ht="15" customHeight="1">
      <c r="A5599" t="inlineStr">
        <is>
          <t>A 33736-2023</t>
        </is>
      </c>
      <c r="B5599" s="1" t="n">
        <v>45119</v>
      </c>
      <c r="C5599" s="1" t="n">
        <v>45211</v>
      </c>
      <c r="D5599" t="inlineStr">
        <is>
          <t>ÖSTERGÖTLANDS LÄN</t>
        </is>
      </c>
      <c r="E5599" t="inlineStr">
        <is>
          <t>SÖDERKÖPING</t>
        </is>
      </c>
      <c r="G5599" t="n">
        <v>1.7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s="2" t="inlineStr"/>
    </row>
    <row r="5600" ht="15" customHeight="1">
      <c r="A5600" t="inlineStr">
        <is>
          <t>A 33724-2023</t>
        </is>
      </c>
      <c r="B5600" s="1" t="n">
        <v>45119</v>
      </c>
      <c r="C5600" s="1" t="n">
        <v>45211</v>
      </c>
      <c r="D5600" t="inlineStr">
        <is>
          <t>ÖSTERGÖTLANDS LÄN</t>
        </is>
      </c>
      <c r="E5600" t="inlineStr">
        <is>
          <t>SÖDERKÖPING</t>
        </is>
      </c>
      <c r="G5600" t="n">
        <v>6.8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s="2" t="inlineStr"/>
    </row>
    <row r="5601" ht="15" customHeight="1">
      <c r="A5601" t="inlineStr">
        <is>
          <t>A 33731-2023</t>
        </is>
      </c>
      <c r="B5601" s="1" t="n">
        <v>45119</v>
      </c>
      <c r="C5601" s="1" t="n">
        <v>45211</v>
      </c>
      <c r="D5601" t="inlineStr">
        <is>
          <t>ÖSTERGÖTLANDS LÄN</t>
        </is>
      </c>
      <c r="E5601" t="inlineStr">
        <is>
          <t>SÖDERKÖPING</t>
        </is>
      </c>
      <c r="G5601" t="n">
        <v>2.4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s="2" t="inlineStr"/>
    </row>
    <row r="5602" ht="15" customHeight="1">
      <c r="A5602" t="inlineStr">
        <is>
          <t>A 32346-2023</t>
        </is>
      </c>
      <c r="B5602" s="1" t="n">
        <v>45120</v>
      </c>
      <c r="C5602" s="1" t="n">
        <v>45211</v>
      </c>
      <c r="D5602" t="inlineStr">
        <is>
          <t>ÖSTERGÖTLANDS LÄN</t>
        </is>
      </c>
      <c r="E5602" t="inlineStr">
        <is>
          <t>LINKÖPING</t>
        </is>
      </c>
      <c r="G5602" t="n">
        <v>0.7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s="2" t="inlineStr"/>
    </row>
    <row r="5603" ht="15" customHeight="1">
      <c r="A5603" t="inlineStr">
        <is>
          <t>A 32382-2023</t>
        </is>
      </c>
      <c r="B5603" s="1" t="n">
        <v>45120</v>
      </c>
      <c r="C5603" s="1" t="n">
        <v>45211</v>
      </c>
      <c r="D5603" t="inlineStr">
        <is>
          <t>ÖSTERGÖTLANDS LÄN</t>
        </is>
      </c>
      <c r="E5603" t="inlineStr">
        <is>
          <t>ÅTVIDABERG</t>
        </is>
      </c>
      <c r="G5603" t="n">
        <v>15.6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s="2" t="inlineStr"/>
    </row>
    <row r="5604" ht="15" customHeight="1">
      <c r="A5604" t="inlineStr">
        <is>
          <t>A 32285-2023</t>
        </is>
      </c>
      <c r="B5604" s="1" t="n">
        <v>45120</v>
      </c>
      <c r="C5604" s="1" t="n">
        <v>45211</v>
      </c>
      <c r="D5604" t="inlineStr">
        <is>
          <t>ÖSTERGÖTLANDS LÄN</t>
        </is>
      </c>
      <c r="E5604" t="inlineStr">
        <is>
          <t>KINDA</t>
        </is>
      </c>
      <c r="G5604" t="n">
        <v>0.2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s="2" t="inlineStr"/>
    </row>
    <row r="5605" ht="15" customHeight="1">
      <c r="A5605" t="inlineStr">
        <is>
          <t>A 32334-2023</t>
        </is>
      </c>
      <c r="B5605" s="1" t="n">
        <v>45120</v>
      </c>
      <c r="C5605" s="1" t="n">
        <v>45211</v>
      </c>
      <c r="D5605" t="inlineStr">
        <is>
          <t>ÖSTERGÖTLANDS LÄN</t>
        </is>
      </c>
      <c r="E5605" t="inlineStr">
        <is>
          <t>LINKÖPING</t>
        </is>
      </c>
      <c r="G5605" t="n">
        <v>1.8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s="2" t="inlineStr"/>
    </row>
    <row r="5606" ht="15" customHeight="1">
      <c r="A5606" t="inlineStr">
        <is>
          <t>A 32391-2023</t>
        </is>
      </c>
      <c r="B5606" s="1" t="n">
        <v>45120</v>
      </c>
      <c r="C5606" s="1" t="n">
        <v>45211</v>
      </c>
      <c r="D5606" t="inlineStr">
        <is>
          <t>ÖSTERGÖTLANDS LÄN</t>
        </is>
      </c>
      <c r="E5606" t="inlineStr">
        <is>
          <t>NORRKÖPING</t>
        </is>
      </c>
      <c r="G5606" t="n">
        <v>0.8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s="2" t="inlineStr"/>
    </row>
    <row r="5607" ht="15" customHeight="1">
      <c r="A5607" t="inlineStr">
        <is>
          <t>A 32278-2023</t>
        </is>
      </c>
      <c r="B5607" s="1" t="n">
        <v>45120</v>
      </c>
      <c r="C5607" s="1" t="n">
        <v>45211</v>
      </c>
      <c r="D5607" t="inlineStr">
        <is>
          <t>ÖSTERGÖTLANDS LÄN</t>
        </is>
      </c>
      <c r="E5607" t="inlineStr">
        <is>
          <t>LINKÖPING</t>
        </is>
      </c>
      <c r="G5607" t="n">
        <v>2.4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s="2" t="inlineStr"/>
    </row>
    <row r="5608" ht="15" customHeight="1">
      <c r="A5608" t="inlineStr">
        <is>
          <t>A 32337-2023</t>
        </is>
      </c>
      <c r="B5608" s="1" t="n">
        <v>45120</v>
      </c>
      <c r="C5608" s="1" t="n">
        <v>45211</v>
      </c>
      <c r="D5608" t="inlineStr">
        <is>
          <t>ÖSTERGÖTLANDS LÄN</t>
        </is>
      </c>
      <c r="E5608" t="inlineStr">
        <is>
          <t>LINKÖPING</t>
        </is>
      </c>
      <c r="G5608" t="n">
        <v>2.3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s="2" t="inlineStr"/>
    </row>
    <row r="5609" ht="15" customHeight="1">
      <c r="A5609" t="inlineStr">
        <is>
          <t>A 32394-2023</t>
        </is>
      </c>
      <c r="B5609" s="1" t="n">
        <v>45120</v>
      </c>
      <c r="C5609" s="1" t="n">
        <v>45211</v>
      </c>
      <c r="D5609" t="inlineStr">
        <is>
          <t>ÖSTERGÖTLANDS LÄN</t>
        </is>
      </c>
      <c r="E5609" t="inlineStr">
        <is>
          <t>NORRKÖPING</t>
        </is>
      </c>
      <c r="G5609" t="n">
        <v>4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s="2" t="inlineStr"/>
    </row>
    <row r="5610" ht="15" customHeight="1">
      <c r="A5610" t="inlineStr">
        <is>
          <t>A 32521-2023</t>
        </is>
      </c>
      <c r="B5610" s="1" t="n">
        <v>45121</v>
      </c>
      <c r="C5610" s="1" t="n">
        <v>45211</v>
      </c>
      <c r="D5610" t="inlineStr">
        <is>
          <t>ÖSTERGÖTLANDS LÄN</t>
        </is>
      </c>
      <c r="E5610" t="inlineStr">
        <is>
          <t>NORRKÖPING</t>
        </is>
      </c>
      <c r="F5610" t="inlineStr">
        <is>
          <t>Holmen skog AB</t>
        </is>
      </c>
      <c r="G5610" t="n">
        <v>3.5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s="2" t="inlineStr"/>
    </row>
    <row r="5611" ht="15" customHeight="1">
      <c r="A5611" t="inlineStr">
        <is>
          <t>A 32617-2023</t>
        </is>
      </c>
      <c r="B5611" s="1" t="n">
        <v>45121</v>
      </c>
      <c r="C5611" s="1" t="n">
        <v>45211</v>
      </c>
      <c r="D5611" t="inlineStr">
        <is>
          <t>ÖSTERGÖTLANDS LÄN</t>
        </is>
      </c>
      <c r="E5611" t="inlineStr">
        <is>
          <t>NORRKÖPING</t>
        </is>
      </c>
      <c r="F5611" t="inlineStr">
        <is>
          <t>Holmen skog AB</t>
        </is>
      </c>
      <c r="G5611" t="n">
        <v>1.1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s="2" t="inlineStr"/>
    </row>
    <row r="5612" ht="15" customHeight="1">
      <c r="A5612" t="inlineStr">
        <is>
          <t>A 33803-2023</t>
        </is>
      </c>
      <c r="B5612" s="1" t="n">
        <v>45121</v>
      </c>
      <c r="C5612" s="1" t="n">
        <v>45211</v>
      </c>
      <c r="D5612" t="inlineStr">
        <is>
          <t>ÖSTERGÖTLANDS LÄN</t>
        </is>
      </c>
      <c r="E5612" t="inlineStr">
        <is>
          <t>LINKÖPING</t>
        </is>
      </c>
      <c r="G5612" t="n">
        <v>1.7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s="2" t="inlineStr"/>
    </row>
    <row r="5613" ht="15" customHeight="1">
      <c r="A5613" t="inlineStr">
        <is>
          <t>A 33800-2023</t>
        </is>
      </c>
      <c r="B5613" s="1" t="n">
        <v>45121</v>
      </c>
      <c r="C5613" s="1" t="n">
        <v>45211</v>
      </c>
      <c r="D5613" t="inlineStr">
        <is>
          <t>ÖSTERGÖTLANDS LÄN</t>
        </is>
      </c>
      <c r="E5613" t="inlineStr">
        <is>
          <t>LINKÖPING</t>
        </is>
      </c>
      <c r="G5613" t="n">
        <v>1.3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s="2" t="inlineStr"/>
    </row>
    <row r="5614" ht="15" customHeight="1">
      <c r="A5614" t="inlineStr">
        <is>
          <t>A 32515-2023</t>
        </is>
      </c>
      <c r="B5614" s="1" t="n">
        <v>45121</v>
      </c>
      <c r="C5614" s="1" t="n">
        <v>45211</v>
      </c>
      <c r="D5614" t="inlineStr">
        <is>
          <t>ÖSTERGÖTLANDS LÄN</t>
        </is>
      </c>
      <c r="E5614" t="inlineStr">
        <is>
          <t>VALDEMARSVIK</t>
        </is>
      </c>
      <c r="G5614" t="n">
        <v>0.7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s="2" t="inlineStr"/>
    </row>
    <row r="5615" ht="15" customHeight="1">
      <c r="A5615" t="inlineStr">
        <is>
          <t>A 32585-2023</t>
        </is>
      </c>
      <c r="B5615" s="1" t="n">
        <v>45121</v>
      </c>
      <c r="C5615" s="1" t="n">
        <v>45211</v>
      </c>
      <c r="D5615" t="inlineStr">
        <is>
          <t>ÖSTERGÖTLANDS LÄN</t>
        </is>
      </c>
      <c r="E5615" t="inlineStr">
        <is>
          <t>FINSPÅNG</t>
        </is>
      </c>
      <c r="F5615" t="inlineStr">
        <is>
          <t>Övriga Aktiebolag</t>
        </is>
      </c>
      <c r="G5615" t="n">
        <v>1.2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s="2" t="inlineStr"/>
    </row>
    <row r="5616" ht="15" customHeight="1">
      <c r="A5616" t="inlineStr">
        <is>
          <t>A 33794-2023</t>
        </is>
      </c>
      <c r="B5616" s="1" t="n">
        <v>45121</v>
      </c>
      <c r="C5616" s="1" t="n">
        <v>45211</v>
      </c>
      <c r="D5616" t="inlineStr">
        <is>
          <t>ÖSTERGÖTLANDS LÄN</t>
        </is>
      </c>
      <c r="E5616" t="inlineStr">
        <is>
          <t>LINKÖPING</t>
        </is>
      </c>
      <c r="G5616" t="n">
        <v>1.2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s="2" t="inlineStr"/>
    </row>
    <row r="5617" ht="15" customHeight="1">
      <c r="A5617" t="inlineStr">
        <is>
          <t>A 32511-2023</t>
        </is>
      </c>
      <c r="B5617" s="1" t="n">
        <v>45121</v>
      </c>
      <c r="C5617" s="1" t="n">
        <v>45211</v>
      </c>
      <c r="D5617" t="inlineStr">
        <is>
          <t>ÖSTERGÖTLANDS LÄN</t>
        </is>
      </c>
      <c r="E5617" t="inlineStr">
        <is>
          <t>NORRKÖPING</t>
        </is>
      </c>
      <c r="F5617" t="inlineStr">
        <is>
          <t>Holmen skog AB</t>
        </is>
      </c>
      <c r="G5617" t="n">
        <v>0.9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s="2" t="inlineStr"/>
    </row>
    <row r="5618" ht="15" customHeight="1">
      <c r="A5618" t="inlineStr">
        <is>
          <t>A 32648-2023</t>
        </is>
      </c>
      <c r="B5618" s="1" t="n">
        <v>45121</v>
      </c>
      <c r="C5618" s="1" t="n">
        <v>45211</v>
      </c>
      <c r="D5618" t="inlineStr">
        <is>
          <t>ÖSTERGÖTLANDS LÄN</t>
        </is>
      </c>
      <c r="E5618" t="inlineStr">
        <is>
          <t>NORRKÖPING</t>
        </is>
      </c>
      <c r="F5618" t="inlineStr">
        <is>
          <t>Holmen skog AB</t>
        </is>
      </c>
      <c r="G5618" t="n">
        <v>1.9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s="2" t="inlineStr"/>
    </row>
    <row r="5619" ht="15" customHeight="1">
      <c r="A5619" t="inlineStr">
        <is>
          <t>A 32749-2023</t>
        </is>
      </c>
      <c r="B5619" s="1" t="n">
        <v>45122</v>
      </c>
      <c r="C5619" s="1" t="n">
        <v>45211</v>
      </c>
      <c r="D5619" t="inlineStr">
        <is>
          <t>ÖSTERGÖTLANDS LÄN</t>
        </is>
      </c>
      <c r="E5619" t="inlineStr">
        <is>
          <t>KINDA</t>
        </is>
      </c>
      <c r="G5619" t="n">
        <v>0.6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s="2" t="inlineStr"/>
    </row>
    <row r="5620" ht="15" customHeight="1">
      <c r="A5620" t="inlineStr">
        <is>
          <t>A 33000-2023</t>
        </is>
      </c>
      <c r="B5620" s="1" t="n">
        <v>45125</v>
      </c>
      <c r="C5620" s="1" t="n">
        <v>45211</v>
      </c>
      <c r="D5620" t="inlineStr">
        <is>
          <t>ÖSTERGÖTLANDS LÄN</t>
        </is>
      </c>
      <c r="E5620" t="inlineStr">
        <is>
          <t>LINKÖPING</t>
        </is>
      </c>
      <c r="G5620" t="n">
        <v>0.6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s="2" t="inlineStr"/>
    </row>
    <row r="5621" ht="15" customHeight="1">
      <c r="A5621" t="inlineStr">
        <is>
          <t>A 33170-2023</t>
        </is>
      </c>
      <c r="B5621" s="1" t="n">
        <v>45126</v>
      </c>
      <c r="C5621" s="1" t="n">
        <v>45211</v>
      </c>
      <c r="D5621" t="inlineStr">
        <is>
          <t>ÖSTERGÖTLANDS LÄN</t>
        </is>
      </c>
      <c r="E5621" t="inlineStr">
        <is>
          <t>NORRKÖPING</t>
        </is>
      </c>
      <c r="G5621" t="n">
        <v>2.1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s="2" t="inlineStr"/>
    </row>
    <row r="5622" ht="15" customHeight="1">
      <c r="A5622" t="inlineStr">
        <is>
          <t>A 33171-2023</t>
        </is>
      </c>
      <c r="B5622" s="1" t="n">
        <v>45126</v>
      </c>
      <c r="C5622" s="1" t="n">
        <v>45211</v>
      </c>
      <c r="D5622" t="inlineStr">
        <is>
          <t>ÖSTERGÖTLANDS LÄN</t>
        </is>
      </c>
      <c r="E5622" t="inlineStr">
        <is>
          <t>NORRKÖPING</t>
        </is>
      </c>
      <c r="G5622" t="n">
        <v>3.2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s="2" t="inlineStr"/>
    </row>
    <row r="5623" ht="15" customHeight="1">
      <c r="A5623" t="inlineStr">
        <is>
          <t>A 34274-2023</t>
        </is>
      </c>
      <c r="B5623" s="1" t="n">
        <v>45128</v>
      </c>
      <c r="C5623" s="1" t="n">
        <v>45211</v>
      </c>
      <c r="D5623" t="inlineStr">
        <is>
          <t>ÖSTERGÖTLANDS LÄN</t>
        </is>
      </c>
      <c r="E5623" t="inlineStr">
        <is>
          <t>KINDA</t>
        </is>
      </c>
      <c r="G5623" t="n">
        <v>1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s="2" t="inlineStr"/>
    </row>
    <row r="5624" ht="15" customHeight="1">
      <c r="A5624" t="inlineStr">
        <is>
          <t>A 34285-2023</t>
        </is>
      </c>
      <c r="B5624" s="1" t="n">
        <v>45128</v>
      </c>
      <c r="C5624" s="1" t="n">
        <v>45211</v>
      </c>
      <c r="D5624" t="inlineStr">
        <is>
          <t>ÖSTERGÖTLANDS LÄN</t>
        </is>
      </c>
      <c r="E5624" t="inlineStr">
        <is>
          <t>NORRKÖPING</t>
        </is>
      </c>
      <c r="F5624" t="inlineStr">
        <is>
          <t>Allmännings- och besparingsskogar</t>
        </is>
      </c>
      <c r="G5624" t="n">
        <v>6.9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s="2" t="inlineStr"/>
    </row>
    <row r="5625" ht="15" customHeight="1">
      <c r="A5625" t="inlineStr">
        <is>
          <t>A 33341-2023</t>
        </is>
      </c>
      <c r="B5625" s="1" t="n">
        <v>45128</v>
      </c>
      <c r="C5625" s="1" t="n">
        <v>45211</v>
      </c>
      <c r="D5625" t="inlineStr">
        <is>
          <t>ÖSTERGÖTLANDS LÄN</t>
        </is>
      </c>
      <c r="E5625" t="inlineStr">
        <is>
          <t>NORRKÖPING</t>
        </is>
      </c>
      <c r="G5625" t="n">
        <v>2.1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s="2" t="inlineStr"/>
    </row>
    <row r="5626" ht="15" customHeight="1">
      <c r="A5626" t="inlineStr">
        <is>
          <t>A 33446-2023</t>
        </is>
      </c>
      <c r="B5626" s="1" t="n">
        <v>45129</v>
      </c>
      <c r="C5626" s="1" t="n">
        <v>45211</v>
      </c>
      <c r="D5626" t="inlineStr">
        <is>
          <t>ÖSTERGÖTLANDS LÄN</t>
        </is>
      </c>
      <c r="E5626" t="inlineStr">
        <is>
          <t>NORRKÖPING</t>
        </is>
      </c>
      <c r="G5626" t="n">
        <v>2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s="2" t="inlineStr"/>
    </row>
    <row r="5627" ht="15" customHeight="1">
      <c r="A5627" t="inlineStr">
        <is>
          <t>A 33568-2023</t>
        </is>
      </c>
      <c r="B5627" s="1" t="n">
        <v>45131</v>
      </c>
      <c r="C5627" s="1" t="n">
        <v>45211</v>
      </c>
      <c r="D5627" t="inlineStr">
        <is>
          <t>ÖSTERGÖTLANDS LÄN</t>
        </is>
      </c>
      <c r="E5627" t="inlineStr">
        <is>
          <t>FINSPÅNG</t>
        </is>
      </c>
      <c r="F5627" t="inlineStr">
        <is>
          <t>Övriga Aktiebolag</t>
        </is>
      </c>
      <c r="G5627" t="n">
        <v>3.1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s="2" t="inlineStr"/>
    </row>
    <row r="5628" ht="15" customHeight="1">
      <c r="A5628" t="inlineStr">
        <is>
          <t>A 33537-2023</t>
        </is>
      </c>
      <c r="B5628" s="1" t="n">
        <v>45131</v>
      </c>
      <c r="C5628" s="1" t="n">
        <v>45211</v>
      </c>
      <c r="D5628" t="inlineStr">
        <is>
          <t>ÖSTERGÖTLANDS LÄN</t>
        </is>
      </c>
      <c r="E5628" t="inlineStr">
        <is>
          <t>FINSPÅNG</t>
        </is>
      </c>
      <c r="F5628" t="inlineStr">
        <is>
          <t>Övriga Aktiebolag</t>
        </is>
      </c>
      <c r="G5628" t="n">
        <v>10.8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s="2" t="inlineStr"/>
    </row>
    <row r="5629" ht="15" customHeight="1">
      <c r="A5629" t="inlineStr">
        <is>
          <t>A 34393-2023</t>
        </is>
      </c>
      <c r="B5629" s="1" t="n">
        <v>45132</v>
      </c>
      <c r="C5629" s="1" t="n">
        <v>45211</v>
      </c>
      <c r="D5629" t="inlineStr">
        <is>
          <t>ÖSTERGÖTLANDS LÄN</t>
        </is>
      </c>
      <c r="E5629" t="inlineStr">
        <is>
          <t>NORRKÖPING</t>
        </is>
      </c>
      <c r="F5629" t="inlineStr">
        <is>
          <t>Allmännings- och besparingsskogar</t>
        </is>
      </c>
      <c r="G5629" t="n">
        <v>2.4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s="2" t="inlineStr"/>
    </row>
    <row r="5630" ht="15" customHeight="1">
      <c r="A5630" t="inlineStr">
        <is>
          <t>A 34357-2023</t>
        </is>
      </c>
      <c r="B5630" s="1" t="n">
        <v>45133</v>
      </c>
      <c r="C5630" s="1" t="n">
        <v>45211</v>
      </c>
      <c r="D5630" t="inlineStr">
        <is>
          <t>ÖSTERGÖTLANDS LÄN</t>
        </is>
      </c>
      <c r="E5630" t="inlineStr">
        <is>
          <t>VALDEMARSVIK</t>
        </is>
      </c>
      <c r="G5630" t="n">
        <v>1.7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s="2" t="inlineStr"/>
    </row>
    <row r="5631" ht="15" customHeight="1">
      <c r="A5631" t="inlineStr">
        <is>
          <t>A 33997-2023</t>
        </is>
      </c>
      <c r="B5631" s="1" t="n">
        <v>45134</v>
      </c>
      <c r="C5631" s="1" t="n">
        <v>45211</v>
      </c>
      <c r="D5631" t="inlineStr">
        <is>
          <t>ÖSTERGÖTLANDS LÄN</t>
        </is>
      </c>
      <c r="E5631" t="inlineStr">
        <is>
          <t>KINDA</t>
        </is>
      </c>
      <c r="G5631" t="n">
        <v>3.7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s="2" t="inlineStr"/>
    </row>
    <row r="5632" ht="15" customHeight="1">
      <c r="A5632" t="inlineStr">
        <is>
          <t>A 34177-2023</t>
        </is>
      </c>
      <c r="B5632" s="1" t="n">
        <v>45138</v>
      </c>
      <c r="C5632" s="1" t="n">
        <v>45211</v>
      </c>
      <c r="D5632" t="inlineStr">
        <is>
          <t>ÖSTERGÖTLANDS LÄN</t>
        </is>
      </c>
      <c r="E5632" t="inlineStr">
        <is>
          <t>YDRE</t>
        </is>
      </c>
      <c r="G5632" t="n">
        <v>1.3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s="2" t="inlineStr"/>
    </row>
    <row r="5633" ht="15" customHeight="1">
      <c r="A5633" t="inlineStr">
        <is>
          <t>A 34296-2023</t>
        </is>
      </c>
      <c r="B5633" s="1" t="n">
        <v>45138</v>
      </c>
      <c r="C5633" s="1" t="n">
        <v>45211</v>
      </c>
      <c r="D5633" t="inlineStr">
        <is>
          <t>ÖSTERGÖTLANDS LÄN</t>
        </is>
      </c>
      <c r="E5633" t="inlineStr">
        <is>
          <t>LINKÖPING</t>
        </is>
      </c>
      <c r="G5633" t="n">
        <v>3.2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s="2" t="inlineStr"/>
    </row>
    <row r="5634" ht="15" customHeight="1">
      <c r="A5634" t="inlineStr">
        <is>
          <t>A 34181-2023</t>
        </is>
      </c>
      <c r="B5634" s="1" t="n">
        <v>45138</v>
      </c>
      <c r="C5634" s="1" t="n">
        <v>45211</v>
      </c>
      <c r="D5634" t="inlineStr">
        <is>
          <t>ÖSTERGÖTLANDS LÄN</t>
        </is>
      </c>
      <c r="E5634" t="inlineStr">
        <is>
          <t>YDRE</t>
        </is>
      </c>
      <c r="G5634" t="n">
        <v>1.8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s="2" t="inlineStr"/>
    </row>
    <row r="5635" ht="15" customHeight="1">
      <c r="A5635" t="inlineStr">
        <is>
          <t>A 34470-2023</t>
        </is>
      </c>
      <c r="B5635" s="1" t="n">
        <v>45139</v>
      </c>
      <c r="C5635" s="1" t="n">
        <v>45211</v>
      </c>
      <c r="D5635" t="inlineStr">
        <is>
          <t>ÖSTERGÖTLANDS LÄN</t>
        </is>
      </c>
      <c r="E5635" t="inlineStr">
        <is>
          <t>LINKÖPING</t>
        </is>
      </c>
      <c r="G5635" t="n">
        <v>1.3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s="2" t="inlineStr"/>
    </row>
    <row r="5636" ht="15" customHeight="1">
      <c r="A5636" t="inlineStr">
        <is>
          <t>A 34627-2023</t>
        </is>
      </c>
      <c r="B5636" s="1" t="n">
        <v>45139</v>
      </c>
      <c r="C5636" s="1" t="n">
        <v>45211</v>
      </c>
      <c r="D5636" t="inlineStr">
        <is>
          <t>ÖSTERGÖTLANDS LÄN</t>
        </is>
      </c>
      <c r="E5636" t="inlineStr">
        <is>
          <t>KINDA</t>
        </is>
      </c>
      <c r="G5636" t="n">
        <v>1.7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s="2" t="inlineStr"/>
    </row>
    <row r="5637" ht="15" customHeight="1">
      <c r="A5637" t="inlineStr">
        <is>
          <t>A 34372-2023</t>
        </is>
      </c>
      <c r="B5637" s="1" t="n">
        <v>45139</v>
      </c>
      <c r="C5637" s="1" t="n">
        <v>45211</v>
      </c>
      <c r="D5637" t="inlineStr">
        <is>
          <t>ÖSTERGÖTLANDS LÄN</t>
        </is>
      </c>
      <c r="E5637" t="inlineStr">
        <is>
          <t>KINDA</t>
        </is>
      </c>
      <c r="G5637" t="n">
        <v>1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s="2" t="inlineStr"/>
    </row>
    <row r="5638" ht="15" customHeight="1">
      <c r="A5638" t="inlineStr">
        <is>
          <t>A 34877-2023</t>
        </is>
      </c>
      <c r="B5638" s="1" t="n">
        <v>45140</v>
      </c>
      <c r="C5638" s="1" t="n">
        <v>45211</v>
      </c>
      <c r="D5638" t="inlineStr">
        <is>
          <t>ÖSTERGÖTLANDS LÄN</t>
        </is>
      </c>
      <c r="E5638" t="inlineStr">
        <is>
          <t>LINKÖPING</t>
        </is>
      </c>
      <c r="G5638" t="n">
        <v>1.9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s="2" t="inlineStr"/>
    </row>
    <row r="5639" ht="15" customHeight="1">
      <c r="A5639" t="inlineStr">
        <is>
          <t>A 34875-2023</t>
        </is>
      </c>
      <c r="B5639" s="1" t="n">
        <v>45140</v>
      </c>
      <c r="C5639" s="1" t="n">
        <v>45211</v>
      </c>
      <c r="D5639" t="inlineStr">
        <is>
          <t>ÖSTERGÖTLANDS LÄN</t>
        </is>
      </c>
      <c r="E5639" t="inlineStr">
        <is>
          <t>LINKÖPING</t>
        </is>
      </c>
      <c r="G5639" t="n">
        <v>3.2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s="2" t="inlineStr"/>
    </row>
    <row r="5640" ht="15" customHeight="1">
      <c r="A5640" t="inlineStr">
        <is>
          <t>A 34889-2023</t>
        </is>
      </c>
      <c r="B5640" s="1" t="n">
        <v>45140</v>
      </c>
      <c r="C5640" s="1" t="n">
        <v>45211</v>
      </c>
      <c r="D5640" t="inlineStr">
        <is>
          <t>ÖSTERGÖTLANDS LÄN</t>
        </is>
      </c>
      <c r="E5640" t="inlineStr">
        <is>
          <t>LINKÖPING</t>
        </is>
      </c>
      <c r="G5640" t="n">
        <v>1.2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s="2" t="inlineStr"/>
    </row>
    <row r="5641" ht="15" customHeight="1">
      <c r="A5641" t="inlineStr">
        <is>
          <t>A 34873-2023</t>
        </is>
      </c>
      <c r="B5641" s="1" t="n">
        <v>45140</v>
      </c>
      <c r="C5641" s="1" t="n">
        <v>45211</v>
      </c>
      <c r="D5641" t="inlineStr">
        <is>
          <t>ÖSTERGÖTLANDS LÄN</t>
        </is>
      </c>
      <c r="E5641" t="inlineStr">
        <is>
          <t>LINKÖPING</t>
        </is>
      </c>
      <c r="G5641" t="n">
        <v>3.2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s="2" t="inlineStr"/>
    </row>
    <row r="5642" ht="15" customHeight="1">
      <c r="A5642" t="inlineStr">
        <is>
          <t>A 34881-2023</t>
        </is>
      </c>
      <c r="B5642" s="1" t="n">
        <v>45140</v>
      </c>
      <c r="C5642" s="1" t="n">
        <v>45211</v>
      </c>
      <c r="D5642" t="inlineStr">
        <is>
          <t>ÖSTERGÖTLANDS LÄN</t>
        </is>
      </c>
      <c r="E5642" t="inlineStr">
        <is>
          <t>LINKÖPING</t>
        </is>
      </c>
      <c r="G5642" t="n">
        <v>1.9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s="2" t="inlineStr"/>
    </row>
    <row r="5643" ht="15" customHeight="1">
      <c r="A5643" t="inlineStr">
        <is>
          <t>A 34872-2023</t>
        </is>
      </c>
      <c r="B5643" s="1" t="n">
        <v>45140</v>
      </c>
      <c r="C5643" s="1" t="n">
        <v>45211</v>
      </c>
      <c r="D5643" t="inlineStr">
        <is>
          <t>ÖSTERGÖTLANDS LÄN</t>
        </is>
      </c>
      <c r="E5643" t="inlineStr">
        <is>
          <t>LINKÖPING</t>
        </is>
      </c>
      <c r="G5643" t="n">
        <v>4.8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s="2" t="inlineStr"/>
    </row>
    <row r="5644" ht="15" customHeight="1">
      <c r="A5644" t="inlineStr">
        <is>
          <t>A 34879-2023</t>
        </is>
      </c>
      <c r="B5644" s="1" t="n">
        <v>45140</v>
      </c>
      <c r="C5644" s="1" t="n">
        <v>45211</v>
      </c>
      <c r="D5644" t="inlineStr">
        <is>
          <t>ÖSTERGÖTLANDS LÄN</t>
        </is>
      </c>
      <c r="E5644" t="inlineStr">
        <is>
          <t>LINKÖPING</t>
        </is>
      </c>
      <c r="G5644" t="n">
        <v>1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s="2" t="inlineStr"/>
    </row>
    <row r="5645" ht="15" customHeight="1">
      <c r="A5645" t="inlineStr">
        <is>
          <t>A 34839-2023</t>
        </is>
      </c>
      <c r="B5645" s="1" t="n">
        <v>45141</v>
      </c>
      <c r="C5645" s="1" t="n">
        <v>45211</v>
      </c>
      <c r="D5645" t="inlineStr">
        <is>
          <t>ÖSTERGÖTLANDS LÄN</t>
        </is>
      </c>
      <c r="E5645" t="inlineStr">
        <is>
          <t>BOXHOLM</t>
        </is>
      </c>
      <c r="G5645" t="n">
        <v>2.6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s="2" t="inlineStr"/>
    </row>
    <row r="5646" ht="15" customHeight="1">
      <c r="A5646" t="inlineStr">
        <is>
          <t>A 34812-2023</t>
        </is>
      </c>
      <c r="B5646" s="1" t="n">
        <v>45141</v>
      </c>
      <c r="C5646" s="1" t="n">
        <v>45211</v>
      </c>
      <c r="D5646" t="inlineStr">
        <is>
          <t>ÖSTERGÖTLANDS LÄN</t>
        </is>
      </c>
      <c r="E5646" t="inlineStr">
        <is>
          <t>BOXHOLM</t>
        </is>
      </c>
      <c r="G5646" t="n">
        <v>1.5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s="2" t="inlineStr"/>
    </row>
    <row r="5647" ht="15" customHeight="1">
      <c r="A5647" t="inlineStr">
        <is>
          <t>A 34977-2023</t>
        </is>
      </c>
      <c r="B5647" s="1" t="n">
        <v>45141</v>
      </c>
      <c r="C5647" s="1" t="n">
        <v>45211</v>
      </c>
      <c r="D5647" t="inlineStr">
        <is>
          <t>ÖSTERGÖTLANDS LÄN</t>
        </is>
      </c>
      <c r="E5647" t="inlineStr">
        <is>
          <t>NORRKÖPING</t>
        </is>
      </c>
      <c r="F5647" t="inlineStr">
        <is>
          <t>Allmännings- och besparingsskogar</t>
        </is>
      </c>
      <c r="G5647" t="n">
        <v>3.8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s="2" t="inlineStr"/>
    </row>
    <row r="5648" ht="15" customHeight="1">
      <c r="A5648" t="inlineStr">
        <is>
          <t>A 34864-2023</t>
        </is>
      </c>
      <c r="B5648" s="1" t="n">
        <v>45141</v>
      </c>
      <c r="C5648" s="1" t="n">
        <v>45211</v>
      </c>
      <c r="D5648" t="inlineStr">
        <is>
          <t>ÖSTERGÖTLANDS LÄN</t>
        </is>
      </c>
      <c r="E5648" t="inlineStr">
        <is>
          <t>LINKÖPING</t>
        </is>
      </c>
      <c r="G5648" t="n">
        <v>3.3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s="2" t="inlineStr"/>
    </row>
    <row r="5649" ht="15" customHeight="1">
      <c r="A5649" t="inlineStr">
        <is>
          <t>A 34882-2023</t>
        </is>
      </c>
      <c r="B5649" s="1" t="n">
        <v>45141</v>
      </c>
      <c r="C5649" s="1" t="n">
        <v>45211</v>
      </c>
      <c r="D5649" t="inlineStr">
        <is>
          <t>ÖSTERGÖTLANDS LÄN</t>
        </is>
      </c>
      <c r="E5649" t="inlineStr">
        <is>
          <t>KINDA</t>
        </is>
      </c>
      <c r="G5649" t="n">
        <v>0.8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s="2" t="inlineStr"/>
    </row>
    <row r="5650" ht="15" customHeight="1">
      <c r="A5650" t="inlineStr">
        <is>
          <t>A 34930-2023</t>
        </is>
      </c>
      <c r="B5650" s="1" t="n">
        <v>45142</v>
      </c>
      <c r="C5650" s="1" t="n">
        <v>45211</v>
      </c>
      <c r="D5650" t="inlineStr">
        <is>
          <t>ÖSTERGÖTLANDS LÄN</t>
        </is>
      </c>
      <c r="E5650" t="inlineStr">
        <is>
          <t>LINKÖPING</t>
        </is>
      </c>
      <c r="G5650" t="n">
        <v>0.7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s="2" t="inlineStr"/>
    </row>
    <row r="5651" ht="15" customHeight="1">
      <c r="A5651" t="inlineStr">
        <is>
          <t>A 34928-2023</t>
        </is>
      </c>
      <c r="B5651" s="1" t="n">
        <v>45142</v>
      </c>
      <c r="C5651" s="1" t="n">
        <v>45211</v>
      </c>
      <c r="D5651" t="inlineStr">
        <is>
          <t>ÖSTERGÖTLANDS LÄN</t>
        </is>
      </c>
      <c r="E5651" t="inlineStr">
        <is>
          <t>LINKÖPING</t>
        </is>
      </c>
      <c r="G5651" t="n">
        <v>1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s="2" t="inlineStr"/>
    </row>
    <row r="5652" ht="15" customHeight="1">
      <c r="A5652" t="inlineStr">
        <is>
          <t>A 35081-2023</t>
        </is>
      </c>
      <c r="B5652" s="1" t="n">
        <v>45145</v>
      </c>
      <c r="C5652" s="1" t="n">
        <v>45211</v>
      </c>
      <c r="D5652" t="inlineStr">
        <is>
          <t>ÖSTERGÖTLANDS LÄN</t>
        </is>
      </c>
      <c r="E5652" t="inlineStr">
        <is>
          <t>BOXHOLM</t>
        </is>
      </c>
      <c r="G5652" t="n">
        <v>0.8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s="2" t="inlineStr"/>
    </row>
    <row r="5653" ht="15" customHeight="1">
      <c r="A5653" t="inlineStr">
        <is>
          <t>A 35209-2023</t>
        </is>
      </c>
      <c r="B5653" s="1" t="n">
        <v>45145</v>
      </c>
      <c r="C5653" s="1" t="n">
        <v>45211</v>
      </c>
      <c r="D5653" t="inlineStr">
        <is>
          <t>ÖSTERGÖTLANDS LÄN</t>
        </is>
      </c>
      <c r="E5653" t="inlineStr">
        <is>
          <t>YDRE</t>
        </is>
      </c>
      <c r="G5653" t="n">
        <v>5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s="2" t="inlineStr"/>
    </row>
    <row r="5654" ht="15" customHeight="1">
      <c r="A5654" t="inlineStr">
        <is>
          <t>A 35099-2023</t>
        </is>
      </c>
      <c r="B5654" s="1" t="n">
        <v>45145</v>
      </c>
      <c r="C5654" s="1" t="n">
        <v>45211</v>
      </c>
      <c r="D5654" t="inlineStr">
        <is>
          <t>ÖSTERGÖTLANDS LÄN</t>
        </is>
      </c>
      <c r="E5654" t="inlineStr">
        <is>
          <t>BOXHOLM</t>
        </is>
      </c>
      <c r="G5654" t="n">
        <v>4.1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s="2" t="inlineStr"/>
    </row>
    <row r="5655" ht="15" customHeight="1">
      <c r="A5655" t="inlineStr">
        <is>
          <t>A 35124-2023</t>
        </is>
      </c>
      <c r="B5655" s="1" t="n">
        <v>45145</v>
      </c>
      <c r="C5655" s="1" t="n">
        <v>45211</v>
      </c>
      <c r="D5655" t="inlineStr">
        <is>
          <t>ÖSTERGÖTLANDS LÄN</t>
        </is>
      </c>
      <c r="E5655" t="inlineStr">
        <is>
          <t>ÖDESHÖG</t>
        </is>
      </c>
      <c r="G5655" t="n">
        <v>2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s="2" t="inlineStr"/>
    </row>
    <row r="5656" ht="15" customHeight="1">
      <c r="A5656" t="inlineStr">
        <is>
          <t>A 35146-2023</t>
        </is>
      </c>
      <c r="B5656" s="1" t="n">
        <v>45145</v>
      </c>
      <c r="C5656" s="1" t="n">
        <v>45211</v>
      </c>
      <c r="D5656" t="inlineStr">
        <is>
          <t>ÖSTERGÖTLANDS LÄN</t>
        </is>
      </c>
      <c r="E5656" t="inlineStr">
        <is>
          <t>NORRKÖPING</t>
        </is>
      </c>
      <c r="G5656" t="n">
        <v>2.8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s="2" t="inlineStr"/>
    </row>
    <row r="5657" ht="15" customHeight="1">
      <c r="A5657" t="inlineStr">
        <is>
          <t>A 35203-2023</t>
        </is>
      </c>
      <c r="B5657" s="1" t="n">
        <v>45145</v>
      </c>
      <c r="C5657" s="1" t="n">
        <v>45211</v>
      </c>
      <c r="D5657" t="inlineStr">
        <is>
          <t>ÖSTERGÖTLANDS LÄN</t>
        </is>
      </c>
      <c r="E5657" t="inlineStr">
        <is>
          <t>KINDA</t>
        </is>
      </c>
      <c r="G5657" t="n">
        <v>1.4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s="2" t="inlineStr"/>
    </row>
    <row r="5658" ht="15" customHeight="1">
      <c r="A5658" t="inlineStr">
        <is>
          <t>A 35104-2023</t>
        </is>
      </c>
      <c r="B5658" s="1" t="n">
        <v>45145</v>
      </c>
      <c r="C5658" s="1" t="n">
        <v>45211</v>
      </c>
      <c r="D5658" t="inlineStr">
        <is>
          <t>ÖSTERGÖTLANDS LÄN</t>
        </is>
      </c>
      <c r="E5658" t="inlineStr">
        <is>
          <t>KINDA</t>
        </is>
      </c>
      <c r="G5658" t="n">
        <v>2.6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s="2" t="inlineStr"/>
    </row>
    <row r="5659" ht="15" customHeight="1">
      <c r="A5659" t="inlineStr">
        <is>
          <t>A 35148-2023</t>
        </is>
      </c>
      <c r="B5659" s="1" t="n">
        <v>45145</v>
      </c>
      <c r="C5659" s="1" t="n">
        <v>45211</v>
      </c>
      <c r="D5659" t="inlineStr">
        <is>
          <t>ÖSTERGÖTLANDS LÄN</t>
        </is>
      </c>
      <c r="E5659" t="inlineStr">
        <is>
          <t>NORRKÖPING</t>
        </is>
      </c>
      <c r="G5659" t="n">
        <v>0.9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s="2" t="inlineStr"/>
    </row>
    <row r="5660" ht="15" customHeight="1">
      <c r="A5660" t="inlineStr">
        <is>
          <t>A 35393-2023</t>
        </is>
      </c>
      <c r="B5660" s="1" t="n">
        <v>45146</v>
      </c>
      <c r="C5660" s="1" t="n">
        <v>45211</v>
      </c>
      <c r="D5660" t="inlineStr">
        <is>
          <t>ÖSTERGÖTLANDS LÄN</t>
        </is>
      </c>
      <c r="E5660" t="inlineStr">
        <is>
          <t>MJÖLBY</t>
        </is>
      </c>
      <c r="F5660" t="inlineStr">
        <is>
          <t>Kyrkan</t>
        </is>
      </c>
      <c r="G5660" t="n">
        <v>4.1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s="2" t="inlineStr"/>
    </row>
    <row r="5661" ht="15" customHeight="1">
      <c r="A5661" t="inlineStr">
        <is>
          <t>A 35427-2023</t>
        </is>
      </c>
      <c r="B5661" s="1" t="n">
        <v>45146</v>
      </c>
      <c r="C5661" s="1" t="n">
        <v>45211</v>
      </c>
      <c r="D5661" t="inlineStr">
        <is>
          <t>ÖSTERGÖTLANDS LÄN</t>
        </is>
      </c>
      <c r="E5661" t="inlineStr">
        <is>
          <t>LINKÖPING</t>
        </is>
      </c>
      <c r="F5661" t="inlineStr">
        <is>
          <t>Övriga Aktiebolag</t>
        </is>
      </c>
      <c r="G5661" t="n">
        <v>2.5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s="2" t="inlineStr"/>
    </row>
    <row r="5662" ht="15" customHeight="1">
      <c r="A5662" t="inlineStr">
        <is>
          <t>A 35481-2023</t>
        </is>
      </c>
      <c r="B5662" s="1" t="n">
        <v>45146</v>
      </c>
      <c r="C5662" s="1" t="n">
        <v>45211</v>
      </c>
      <c r="D5662" t="inlineStr">
        <is>
          <t>ÖSTERGÖTLANDS LÄN</t>
        </is>
      </c>
      <c r="E5662" t="inlineStr">
        <is>
          <t>LINKÖPING</t>
        </is>
      </c>
      <c r="F5662" t="inlineStr">
        <is>
          <t>Övriga Aktiebolag</t>
        </is>
      </c>
      <c r="G5662" t="n">
        <v>3.3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s="2" t="inlineStr"/>
    </row>
    <row r="5663" ht="15" customHeight="1">
      <c r="A5663" t="inlineStr">
        <is>
          <t>A 35357-2023</t>
        </is>
      </c>
      <c r="B5663" s="1" t="n">
        <v>45146</v>
      </c>
      <c r="C5663" s="1" t="n">
        <v>45211</v>
      </c>
      <c r="D5663" t="inlineStr">
        <is>
          <t>ÖSTERGÖTLANDS LÄN</t>
        </is>
      </c>
      <c r="E5663" t="inlineStr">
        <is>
          <t>BOXHOLM</t>
        </is>
      </c>
      <c r="G5663" t="n">
        <v>9.6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s="2" t="inlineStr"/>
    </row>
    <row r="5664" ht="15" customHeight="1">
      <c r="A5664" t="inlineStr">
        <is>
          <t>A 35447-2023</t>
        </is>
      </c>
      <c r="B5664" s="1" t="n">
        <v>45146</v>
      </c>
      <c r="C5664" s="1" t="n">
        <v>45211</v>
      </c>
      <c r="D5664" t="inlineStr">
        <is>
          <t>ÖSTERGÖTLANDS LÄN</t>
        </is>
      </c>
      <c r="E5664" t="inlineStr">
        <is>
          <t>MJÖLBY</t>
        </is>
      </c>
      <c r="G5664" t="n">
        <v>0.9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s="2" t="inlineStr"/>
    </row>
    <row r="5665" ht="15" customHeight="1">
      <c r="A5665" t="inlineStr">
        <is>
          <t>A 35456-2023</t>
        </is>
      </c>
      <c r="B5665" s="1" t="n">
        <v>45146</v>
      </c>
      <c r="C5665" s="1" t="n">
        <v>45211</v>
      </c>
      <c r="D5665" t="inlineStr">
        <is>
          <t>ÖSTERGÖTLANDS LÄN</t>
        </is>
      </c>
      <c r="E5665" t="inlineStr">
        <is>
          <t>LINKÖPING</t>
        </is>
      </c>
      <c r="F5665" t="inlineStr">
        <is>
          <t>Övriga Aktiebolag</t>
        </is>
      </c>
      <c r="G5665" t="n">
        <v>1.6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s="2" t="inlineStr"/>
    </row>
    <row r="5666" ht="15" customHeight="1">
      <c r="A5666" t="inlineStr">
        <is>
          <t>A 35463-2023</t>
        </is>
      </c>
      <c r="B5666" s="1" t="n">
        <v>45146</v>
      </c>
      <c r="C5666" s="1" t="n">
        <v>45211</v>
      </c>
      <c r="D5666" t="inlineStr">
        <is>
          <t>ÖSTERGÖTLANDS LÄN</t>
        </is>
      </c>
      <c r="E5666" t="inlineStr">
        <is>
          <t>LINKÖPING</t>
        </is>
      </c>
      <c r="F5666" t="inlineStr">
        <is>
          <t>Övriga Aktiebolag</t>
        </is>
      </c>
      <c r="G5666" t="n">
        <v>1.8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s="2" t="inlineStr"/>
    </row>
    <row r="5667" ht="15" customHeight="1">
      <c r="A5667" t="inlineStr">
        <is>
          <t>A 35483-2023</t>
        </is>
      </c>
      <c r="B5667" s="1" t="n">
        <v>45146</v>
      </c>
      <c r="C5667" s="1" t="n">
        <v>45211</v>
      </c>
      <c r="D5667" t="inlineStr">
        <is>
          <t>ÖSTERGÖTLANDS LÄN</t>
        </is>
      </c>
      <c r="E5667" t="inlineStr">
        <is>
          <t>LINKÖPING</t>
        </is>
      </c>
      <c r="F5667" t="inlineStr">
        <is>
          <t>Övriga Aktiebolag</t>
        </is>
      </c>
      <c r="G5667" t="n">
        <v>0.8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s="2" t="inlineStr"/>
    </row>
    <row r="5668" ht="15" customHeight="1">
      <c r="A5668" t="inlineStr">
        <is>
          <t>A 35738-2023</t>
        </is>
      </c>
      <c r="B5668" s="1" t="n">
        <v>45147</v>
      </c>
      <c r="C5668" s="1" t="n">
        <v>45211</v>
      </c>
      <c r="D5668" t="inlineStr">
        <is>
          <t>ÖSTERGÖTLANDS LÄN</t>
        </is>
      </c>
      <c r="E5668" t="inlineStr">
        <is>
          <t>ÅTVIDABERG</t>
        </is>
      </c>
      <c r="G5668" t="n">
        <v>1.8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s="2" t="inlineStr"/>
    </row>
    <row r="5669" ht="15" customHeight="1">
      <c r="A5669" t="inlineStr">
        <is>
          <t>A 35781-2023</t>
        </is>
      </c>
      <c r="B5669" s="1" t="n">
        <v>45147</v>
      </c>
      <c r="C5669" s="1" t="n">
        <v>45211</v>
      </c>
      <c r="D5669" t="inlineStr">
        <is>
          <t>ÖSTERGÖTLANDS LÄN</t>
        </is>
      </c>
      <c r="E5669" t="inlineStr">
        <is>
          <t>LINKÖPING</t>
        </is>
      </c>
      <c r="G5669" t="n">
        <v>1.6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s="2" t="inlineStr"/>
    </row>
    <row r="5670" ht="15" customHeight="1">
      <c r="A5670" t="inlineStr">
        <is>
          <t>A 35598-2023</t>
        </is>
      </c>
      <c r="B5670" s="1" t="n">
        <v>45147</v>
      </c>
      <c r="C5670" s="1" t="n">
        <v>45211</v>
      </c>
      <c r="D5670" t="inlineStr">
        <is>
          <t>ÖSTERGÖTLANDS LÄN</t>
        </is>
      </c>
      <c r="E5670" t="inlineStr">
        <is>
          <t>FINSPÅNG</t>
        </is>
      </c>
      <c r="G5670" t="n">
        <v>8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s="2" t="inlineStr"/>
    </row>
    <row r="5671" ht="15" customHeight="1">
      <c r="A5671" t="inlineStr">
        <is>
          <t>A 35735-2023</t>
        </is>
      </c>
      <c r="B5671" s="1" t="n">
        <v>45147</v>
      </c>
      <c r="C5671" s="1" t="n">
        <v>45211</v>
      </c>
      <c r="D5671" t="inlineStr">
        <is>
          <t>ÖSTERGÖTLANDS LÄN</t>
        </is>
      </c>
      <c r="E5671" t="inlineStr">
        <is>
          <t>LINKÖPING</t>
        </is>
      </c>
      <c r="G5671" t="n">
        <v>2.8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s="2" t="inlineStr"/>
    </row>
    <row r="5672" ht="15" customHeight="1">
      <c r="A5672" t="inlineStr">
        <is>
          <t>A 35648-2023</t>
        </is>
      </c>
      <c r="B5672" s="1" t="n">
        <v>45147</v>
      </c>
      <c r="C5672" s="1" t="n">
        <v>45211</v>
      </c>
      <c r="D5672" t="inlineStr">
        <is>
          <t>ÖSTERGÖTLANDS LÄN</t>
        </is>
      </c>
      <c r="E5672" t="inlineStr">
        <is>
          <t>BOXHOLM</t>
        </is>
      </c>
      <c r="G5672" t="n">
        <v>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s="2" t="inlineStr"/>
    </row>
    <row r="5673" ht="15" customHeight="1">
      <c r="A5673" t="inlineStr">
        <is>
          <t>A 35774-2023</t>
        </is>
      </c>
      <c r="B5673" s="1" t="n">
        <v>45148</v>
      </c>
      <c r="C5673" s="1" t="n">
        <v>45211</v>
      </c>
      <c r="D5673" t="inlineStr">
        <is>
          <t>ÖSTERGÖTLANDS LÄN</t>
        </is>
      </c>
      <c r="E5673" t="inlineStr">
        <is>
          <t>NORRKÖPING</t>
        </is>
      </c>
      <c r="F5673" t="inlineStr">
        <is>
          <t>Holmen skog AB</t>
        </is>
      </c>
      <c r="G5673" t="n">
        <v>2.7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s="2" t="inlineStr"/>
    </row>
    <row r="5674" ht="15" customHeight="1">
      <c r="A5674" t="inlineStr">
        <is>
          <t>A 35954-2023</t>
        </is>
      </c>
      <c r="B5674" s="1" t="n">
        <v>45148</v>
      </c>
      <c r="C5674" s="1" t="n">
        <v>45211</v>
      </c>
      <c r="D5674" t="inlineStr">
        <is>
          <t>ÖSTERGÖTLANDS LÄN</t>
        </is>
      </c>
      <c r="E5674" t="inlineStr">
        <is>
          <t>KINDA</t>
        </is>
      </c>
      <c r="G5674" t="n">
        <v>1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s="2" t="inlineStr"/>
    </row>
    <row r="5675" ht="15" customHeight="1">
      <c r="A5675" t="inlineStr">
        <is>
          <t>A 36075-2023</t>
        </is>
      </c>
      <c r="B5675" s="1" t="n">
        <v>45149</v>
      </c>
      <c r="C5675" s="1" t="n">
        <v>45211</v>
      </c>
      <c r="D5675" t="inlineStr">
        <is>
          <t>ÖSTERGÖTLANDS LÄN</t>
        </is>
      </c>
      <c r="E5675" t="inlineStr">
        <is>
          <t>ÖDESHÖG</t>
        </is>
      </c>
      <c r="G5675" t="n">
        <v>1.5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s="2" t="inlineStr"/>
    </row>
    <row r="5676" ht="15" customHeight="1">
      <c r="A5676" t="inlineStr">
        <is>
          <t>A 36044-2023</t>
        </is>
      </c>
      <c r="B5676" s="1" t="n">
        <v>45149</v>
      </c>
      <c r="C5676" s="1" t="n">
        <v>45211</v>
      </c>
      <c r="D5676" t="inlineStr">
        <is>
          <t>ÖSTERGÖTLANDS LÄN</t>
        </is>
      </c>
      <c r="E5676" t="inlineStr">
        <is>
          <t>YDRE</t>
        </is>
      </c>
      <c r="G5676" t="n">
        <v>1.1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s="2" t="inlineStr"/>
    </row>
    <row r="5677" ht="15" customHeight="1">
      <c r="A5677" t="inlineStr">
        <is>
          <t>A 36191-2023</t>
        </is>
      </c>
      <c r="B5677" s="1" t="n">
        <v>45149</v>
      </c>
      <c r="C5677" s="1" t="n">
        <v>45211</v>
      </c>
      <c r="D5677" t="inlineStr">
        <is>
          <t>ÖSTERGÖTLANDS LÄN</t>
        </is>
      </c>
      <c r="E5677" t="inlineStr">
        <is>
          <t>FINSPÅNG</t>
        </is>
      </c>
      <c r="G5677" t="n">
        <v>5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s="2" t="inlineStr"/>
    </row>
    <row r="5678" ht="15" customHeight="1">
      <c r="A5678" t="inlineStr">
        <is>
          <t>A 35994-2023</t>
        </is>
      </c>
      <c r="B5678" s="1" t="n">
        <v>45149</v>
      </c>
      <c r="C5678" s="1" t="n">
        <v>45211</v>
      </c>
      <c r="D5678" t="inlineStr">
        <is>
          <t>ÖSTERGÖTLANDS LÄN</t>
        </is>
      </c>
      <c r="E5678" t="inlineStr">
        <is>
          <t>LINKÖPING</t>
        </is>
      </c>
      <c r="G5678" t="n">
        <v>2.5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s="2" t="inlineStr"/>
    </row>
    <row r="5679" ht="15" customHeight="1">
      <c r="A5679" t="inlineStr">
        <is>
          <t>A 36118-2023</t>
        </is>
      </c>
      <c r="B5679" s="1" t="n">
        <v>45149</v>
      </c>
      <c r="C5679" s="1" t="n">
        <v>45211</v>
      </c>
      <c r="D5679" t="inlineStr">
        <is>
          <t>ÖSTERGÖTLANDS LÄN</t>
        </is>
      </c>
      <c r="E5679" t="inlineStr">
        <is>
          <t>SÖDERKÖPING</t>
        </is>
      </c>
      <c r="G5679" t="n">
        <v>7.1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s="2" t="inlineStr"/>
    </row>
    <row r="5680" ht="15" customHeight="1">
      <c r="A5680" t="inlineStr">
        <is>
          <t>A 35993-2023</t>
        </is>
      </c>
      <c r="B5680" s="1" t="n">
        <v>45149</v>
      </c>
      <c r="C5680" s="1" t="n">
        <v>45211</v>
      </c>
      <c r="D5680" t="inlineStr">
        <is>
          <t>ÖSTERGÖTLANDS LÄN</t>
        </is>
      </c>
      <c r="E5680" t="inlineStr">
        <is>
          <t>ÅTVIDABERG</t>
        </is>
      </c>
      <c r="G5680" t="n">
        <v>2.8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s="2" t="inlineStr"/>
    </row>
    <row r="5681" ht="15" customHeight="1">
      <c r="A5681" t="inlineStr">
        <is>
          <t>A 36110-2023</t>
        </is>
      </c>
      <c r="B5681" s="1" t="n">
        <v>45149</v>
      </c>
      <c r="C5681" s="1" t="n">
        <v>45211</v>
      </c>
      <c r="D5681" t="inlineStr">
        <is>
          <t>ÖSTERGÖTLANDS LÄN</t>
        </is>
      </c>
      <c r="E5681" t="inlineStr">
        <is>
          <t>FINSPÅNG</t>
        </is>
      </c>
      <c r="G5681" t="n">
        <v>2.1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s="2" t="inlineStr"/>
    </row>
    <row r="5682" ht="15" customHeight="1">
      <c r="A5682" t="inlineStr">
        <is>
          <t>A 36192-2023</t>
        </is>
      </c>
      <c r="B5682" s="1" t="n">
        <v>45149</v>
      </c>
      <c r="C5682" s="1" t="n">
        <v>45211</v>
      </c>
      <c r="D5682" t="inlineStr">
        <is>
          <t>ÖSTERGÖTLANDS LÄN</t>
        </is>
      </c>
      <c r="E5682" t="inlineStr">
        <is>
          <t>FINSPÅNG</t>
        </is>
      </c>
      <c r="G5682" t="n">
        <v>1.1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s="2" t="inlineStr"/>
    </row>
    <row r="5683" ht="15" customHeight="1">
      <c r="A5683" t="inlineStr">
        <is>
          <t>A 36422-2023</t>
        </is>
      </c>
      <c r="B5683" s="1" t="n">
        <v>45152</v>
      </c>
      <c r="C5683" s="1" t="n">
        <v>45211</v>
      </c>
      <c r="D5683" t="inlineStr">
        <is>
          <t>ÖSTERGÖTLANDS LÄN</t>
        </is>
      </c>
      <c r="E5683" t="inlineStr">
        <is>
          <t>NORRKÖPING</t>
        </is>
      </c>
      <c r="G5683" t="n">
        <v>3.1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s="2" t="inlineStr"/>
    </row>
    <row r="5684" ht="15" customHeight="1">
      <c r="A5684" t="inlineStr">
        <is>
          <t>A 36350-2023</t>
        </is>
      </c>
      <c r="B5684" s="1" t="n">
        <v>45152</v>
      </c>
      <c r="C5684" s="1" t="n">
        <v>45211</v>
      </c>
      <c r="D5684" t="inlineStr">
        <is>
          <t>ÖSTERGÖTLANDS LÄN</t>
        </is>
      </c>
      <c r="E5684" t="inlineStr">
        <is>
          <t>KINDA</t>
        </is>
      </c>
      <c r="G5684" t="n">
        <v>0.9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s="2" t="inlineStr"/>
    </row>
    <row r="5685" ht="15" customHeight="1">
      <c r="A5685" t="inlineStr">
        <is>
          <t>A 36632-2023</t>
        </is>
      </c>
      <c r="B5685" s="1" t="n">
        <v>45153</v>
      </c>
      <c r="C5685" s="1" t="n">
        <v>45211</v>
      </c>
      <c r="D5685" t="inlineStr">
        <is>
          <t>ÖSTERGÖTLANDS LÄN</t>
        </is>
      </c>
      <c r="E5685" t="inlineStr">
        <is>
          <t>KINDA</t>
        </is>
      </c>
      <c r="G5685" t="n">
        <v>0.5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s="2" t="inlineStr"/>
    </row>
    <row r="5686" ht="15" customHeight="1">
      <c r="A5686" t="inlineStr">
        <is>
          <t>A 36554-2023</t>
        </is>
      </c>
      <c r="B5686" s="1" t="n">
        <v>45153</v>
      </c>
      <c r="C5686" s="1" t="n">
        <v>45211</v>
      </c>
      <c r="D5686" t="inlineStr">
        <is>
          <t>ÖSTERGÖTLANDS LÄN</t>
        </is>
      </c>
      <c r="E5686" t="inlineStr">
        <is>
          <t>LINKÖPING</t>
        </is>
      </c>
      <c r="G5686" t="n">
        <v>0.7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s="2" t="inlineStr"/>
    </row>
    <row r="5687" ht="15" customHeight="1">
      <c r="A5687" t="inlineStr">
        <is>
          <t>A 36571-2023</t>
        </is>
      </c>
      <c r="B5687" s="1" t="n">
        <v>45153</v>
      </c>
      <c r="C5687" s="1" t="n">
        <v>45211</v>
      </c>
      <c r="D5687" t="inlineStr">
        <is>
          <t>ÖSTERGÖTLANDS LÄN</t>
        </is>
      </c>
      <c r="E5687" t="inlineStr">
        <is>
          <t>NORRKÖPING</t>
        </is>
      </c>
      <c r="F5687" t="inlineStr">
        <is>
          <t>Holmen skog AB</t>
        </is>
      </c>
      <c r="G5687" t="n">
        <v>1.1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s="2" t="inlineStr"/>
    </row>
    <row r="5688" ht="15" customHeight="1">
      <c r="A5688" t="inlineStr">
        <is>
          <t>A 36730-2023</t>
        </is>
      </c>
      <c r="B5688" s="1" t="n">
        <v>45153</v>
      </c>
      <c r="C5688" s="1" t="n">
        <v>45211</v>
      </c>
      <c r="D5688" t="inlineStr">
        <is>
          <t>ÖSTERGÖTLANDS LÄN</t>
        </is>
      </c>
      <c r="E5688" t="inlineStr">
        <is>
          <t>ÖDESHÖG</t>
        </is>
      </c>
      <c r="G5688" t="n">
        <v>3.2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s="2" t="inlineStr"/>
    </row>
    <row r="5689" ht="15" customHeight="1">
      <c r="A5689" t="inlineStr">
        <is>
          <t>A 36557-2023</t>
        </is>
      </c>
      <c r="B5689" s="1" t="n">
        <v>45153</v>
      </c>
      <c r="C5689" s="1" t="n">
        <v>45211</v>
      </c>
      <c r="D5689" t="inlineStr">
        <is>
          <t>ÖSTERGÖTLANDS LÄN</t>
        </is>
      </c>
      <c r="E5689" t="inlineStr">
        <is>
          <t>LINKÖPING</t>
        </is>
      </c>
      <c r="F5689" t="inlineStr">
        <is>
          <t>Övriga Aktiebolag</t>
        </is>
      </c>
      <c r="G5689" t="n">
        <v>3.1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s="2" t="inlineStr"/>
    </row>
    <row r="5690" ht="15" customHeight="1">
      <c r="A5690" t="inlineStr">
        <is>
          <t>A 36575-2023</t>
        </is>
      </c>
      <c r="B5690" s="1" t="n">
        <v>45153</v>
      </c>
      <c r="C5690" s="1" t="n">
        <v>45211</v>
      </c>
      <c r="D5690" t="inlineStr">
        <is>
          <t>ÖSTERGÖTLANDS LÄN</t>
        </is>
      </c>
      <c r="E5690" t="inlineStr">
        <is>
          <t>NORRKÖPING</t>
        </is>
      </c>
      <c r="F5690" t="inlineStr">
        <is>
          <t>Holmen skog AB</t>
        </is>
      </c>
      <c r="G5690" t="n">
        <v>0.4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s="2" t="inlineStr"/>
    </row>
    <row r="5691" ht="15" customHeight="1">
      <c r="A5691" t="inlineStr">
        <is>
          <t>A 36822-2023</t>
        </is>
      </c>
      <c r="B5691" s="1" t="n">
        <v>45154</v>
      </c>
      <c r="C5691" s="1" t="n">
        <v>45211</v>
      </c>
      <c r="D5691" t="inlineStr">
        <is>
          <t>ÖSTERGÖTLANDS LÄN</t>
        </is>
      </c>
      <c r="E5691" t="inlineStr">
        <is>
          <t>ÅTVIDABERG</t>
        </is>
      </c>
      <c r="G5691" t="n">
        <v>8.9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s="2" t="inlineStr"/>
    </row>
    <row r="5692" ht="15" customHeight="1">
      <c r="A5692" t="inlineStr">
        <is>
          <t>A 36828-2023</t>
        </is>
      </c>
      <c r="B5692" s="1" t="n">
        <v>45154</v>
      </c>
      <c r="C5692" s="1" t="n">
        <v>45211</v>
      </c>
      <c r="D5692" t="inlineStr">
        <is>
          <t>ÖSTERGÖTLANDS LÄN</t>
        </is>
      </c>
      <c r="E5692" t="inlineStr">
        <is>
          <t>MJÖLBY</t>
        </is>
      </c>
      <c r="F5692" t="inlineStr">
        <is>
          <t>Sveaskog</t>
        </is>
      </c>
      <c r="G5692" t="n">
        <v>6.7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s="2" t="inlineStr"/>
    </row>
    <row r="5693" ht="15" customHeight="1">
      <c r="A5693" t="inlineStr">
        <is>
          <t>A 37154-2023</t>
        </is>
      </c>
      <c r="B5693" s="1" t="n">
        <v>45155</v>
      </c>
      <c r="C5693" s="1" t="n">
        <v>45211</v>
      </c>
      <c r="D5693" t="inlineStr">
        <is>
          <t>ÖSTERGÖTLANDS LÄN</t>
        </is>
      </c>
      <c r="E5693" t="inlineStr">
        <is>
          <t>LINKÖPING</t>
        </is>
      </c>
      <c r="G5693" t="n">
        <v>1.7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s="2" t="inlineStr"/>
    </row>
    <row r="5694" ht="15" customHeight="1">
      <c r="A5694" t="inlineStr">
        <is>
          <t>A 37581-2023</t>
        </is>
      </c>
      <c r="B5694" s="1" t="n">
        <v>45159</v>
      </c>
      <c r="C5694" s="1" t="n">
        <v>45211</v>
      </c>
      <c r="D5694" t="inlineStr">
        <is>
          <t>ÖSTERGÖTLANDS LÄN</t>
        </is>
      </c>
      <c r="E5694" t="inlineStr">
        <is>
          <t>YDRE</t>
        </is>
      </c>
      <c r="G5694" t="n">
        <v>3.4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s="2" t="inlineStr"/>
    </row>
    <row r="5695" ht="15" customHeight="1">
      <c r="A5695" t="inlineStr">
        <is>
          <t>A 37943-2023</t>
        </is>
      </c>
      <c r="B5695" s="1" t="n">
        <v>45159</v>
      </c>
      <c r="C5695" s="1" t="n">
        <v>45211</v>
      </c>
      <c r="D5695" t="inlineStr">
        <is>
          <t>ÖSTERGÖTLANDS LÄN</t>
        </is>
      </c>
      <c r="E5695" t="inlineStr">
        <is>
          <t>VALDEMARSVIK</t>
        </is>
      </c>
      <c r="G5695" t="n">
        <v>2.6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s="2" t="inlineStr"/>
    </row>
    <row r="5696" ht="15" customHeight="1">
      <c r="A5696" t="inlineStr">
        <is>
          <t>A 37700-2023</t>
        </is>
      </c>
      <c r="B5696" s="1" t="n">
        <v>45159</v>
      </c>
      <c r="C5696" s="1" t="n">
        <v>45211</v>
      </c>
      <c r="D5696" t="inlineStr">
        <is>
          <t>ÖSTERGÖTLANDS LÄN</t>
        </is>
      </c>
      <c r="E5696" t="inlineStr">
        <is>
          <t>NORRKÖPING</t>
        </is>
      </c>
      <c r="G5696" t="n">
        <v>1.3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s="2" t="inlineStr"/>
    </row>
    <row r="5697" ht="15" customHeight="1">
      <c r="A5697" t="inlineStr">
        <is>
          <t>A 37619-2023</t>
        </is>
      </c>
      <c r="B5697" s="1" t="n">
        <v>45159</v>
      </c>
      <c r="C5697" s="1" t="n">
        <v>45211</v>
      </c>
      <c r="D5697" t="inlineStr">
        <is>
          <t>ÖSTERGÖTLANDS LÄN</t>
        </is>
      </c>
      <c r="E5697" t="inlineStr">
        <is>
          <t>LINKÖPING</t>
        </is>
      </c>
      <c r="F5697" t="inlineStr">
        <is>
          <t>Allmännings- och besparingsskogar</t>
        </is>
      </c>
      <c r="G5697" t="n">
        <v>1.2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s="2" t="inlineStr"/>
    </row>
    <row r="5698" ht="15" customHeight="1">
      <c r="A5698" t="inlineStr">
        <is>
          <t>A 37629-2023</t>
        </is>
      </c>
      <c r="B5698" s="1" t="n">
        <v>45159</v>
      </c>
      <c r="C5698" s="1" t="n">
        <v>45211</v>
      </c>
      <c r="D5698" t="inlineStr">
        <is>
          <t>ÖSTERGÖTLANDS LÄN</t>
        </is>
      </c>
      <c r="E5698" t="inlineStr">
        <is>
          <t>BOXHOLM</t>
        </is>
      </c>
      <c r="G5698" t="n">
        <v>1.1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s="2" t="inlineStr"/>
    </row>
    <row r="5699" ht="15" customHeight="1">
      <c r="A5699" t="inlineStr">
        <is>
          <t>A 37701-2023</t>
        </is>
      </c>
      <c r="B5699" s="1" t="n">
        <v>45159</v>
      </c>
      <c r="C5699" s="1" t="n">
        <v>45211</v>
      </c>
      <c r="D5699" t="inlineStr">
        <is>
          <t>ÖSTERGÖTLANDS LÄN</t>
        </is>
      </c>
      <c r="E5699" t="inlineStr">
        <is>
          <t>NORRKÖPING</t>
        </is>
      </c>
      <c r="G5699" t="n">
        <v>1.3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s="2" t="inlineStr"/>
    </row>
    <row r="5700" ht="15" customHeight="1">
      <c r="A5700" t="inlineStr">
        <is>
          <t>A 38061-2023</t>
        </is>
      </c>
      <c r="B5700" s="1" t="n">
        <v>45159</v>
      </c>
      <c r="C5700" s="1" t="n">
        <v>45211</v>
      </c>
      <c r="D5700" t="inlineStr">
        <is>
          <t>ÖSTERGÖTLANDS LÄN</t>
        </is>
      </c>
      <c r="E5700" t="inlineStr">
        <is>
          <t>KINDA</t>
        </is>
      </c>
      <c r="G5700" t="n">
        <v>1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s="2" t="inlineStr"/>
    </row>
    <row r="5701" ht="15" customHeight="1">
      <c r="A5701" t="inlineStr">
        <is>
          <t>A 37631-2023</t>
        </is>
      </c>
      <c r="B5701" s="1" t="n">
        <v>45159</v>
      </c>
      <c r="C5701" s="1" t="n">
        <v>45211</v>
      </c>
      <c r="D5701" t="inlineStr">
        <is>
          <t>ÖSTERGÖTLANDS LÄN</t>
        </is>
      </c>
      <c r="E5701" t="inlineStr">
        <is>
          <t>MJÖLBY</t>
        </is>
      </c>
      <c r="G5701" t="n">
        <v>1.8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s="2" t="inlineStr"/>
    </row>
    <row r="5702" ht="15" customHeight="1">
      <c r="A5702" t="inlineStr">
        <is>
          <t>A 37777-2023</t>
        </is>
      </c>
      <c r="B5702" s="1" t="n">
        <v>45159</v>
      </c>
      <c r="C5702" s="1" t="n">
        <v>45211</v>
      </c>
      <c r="D5702" t="inlineStr">
        <is>
          <t>ÖSTERGÖTLANDS LÄN</t>
        </is>
      </c>
      <c r="E5702" t="inlineStr">
        <is>
          <t>YDRE</t>
        </is>
      </c>
      <c r="G5702" t="n">
        <v>0.6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s="2" t="inlineStr"/>
    </row>
    <row r="5703" ht="15" customHeight="1">
      <c r="A5703" t="inlineStr">
        <is>
          <t>A 38715-2023</t>
        </is>
      </c>
      <c r="B5703" s="1" t="n">
        <v>45160</v>
      </c>
      <c r="C5703" s="1" t="n">
        <v>45211</v>
      </c>
      <c r="D5703" t="inlineStr">
        <is>
          <t>ÖSTERGÖTLANDS LÄN</t>
        </is>
      </c>
      <c r="E5703" t="inlineStr">
        <is>
          <t>LINKÖPING</t>
        </is>
      </c>
      <c r="G5703" t="n">
        <v>0.6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s="2" t="inlineStr"/>
    </row>
    <row r="5704" ht="15" customHeight="1">
      <c r="A5704" t="inlineStr">
        <is>
          <t>A 37909-2023</t>
        </is>
      </c>
      <c r="B5704" s="1" t="n">
        <v>45160</v>
      </c>
      <c r="C5704" s="1" t="n">
        <v>45211</v>
      </c>
      <c r="D5704" t="inlineStr">
        <is>
          <t>ÖSTERGÖTLANDS LÄN</t>
        </is>
      </c>
      <c r="E5704" t="inlineStr">
        <is>
          <t>KINDA</t>
        </is>
      </c>
      <c r="G5704" t="n">
        <v>1.2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s="2" t="inlineStr"/>
    </row>
    <row r="5705" ht="15" customHeight="1">
      <c r="A5705" t="inlineStr">
        <is>
          <t>A 37988-2023</t>
        </is>
      </c>
      <c r="B5705" s="1" t="n">
        <v>45160</v>
      </c>
      <c r="C5705" s="1" t="n">
        <v>45211</v>
      </c>
      <c r="D5705" t="inlineStr">
        <is>
          <t>ÖSTERGÖTLANDS LÄN</t>
        </is>
      </c>
      <c r="E5705" t="inlineStr">
        <is>
          <t>SÖDERKÖPING</t>
        </is>
      </c>
      <c r="G5705" t="n">
        <v>2.9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s="2" t="inlineStr"/>
    </row>
    <row r="5706" ht="15" customHeight="1">
      <c r="A5706" t="inlineStr">
        <is>
          <t>A 38015-2023</t>
        </is>
      </c>
      <c r="B5706" s="1" t="n">
        <v>45160</v>
      </c>
      <c r="C5706" s="1" t="n">
        <v>45211</v>
      </c>
      <c r="D5706" t="inlineStr">
        <is>
          <t>ÖSTERGÖTLANDS LÄN</t>
        </is>
      </c>
      <c r="E5706" t="inlineStr">
        <is>
          <t>KINDA</t>
        </is>
      </c>
      <c r="F5706" t="inlineStr">
        <is>
          <t>Allmännings- och besparingsskogar</t>
        </is>
      </c>
      <c r="G5706" t="n">
        <v>11.5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s="2" t="inlineStr"/>
    </row>
    <row r="5707" ht="15" customHeight="1">
      <c r="A5707" t="inlineStr">
        <is>
          <t>A 38706-2023</t>
        </is>
      </c>
      <c r="B5707" s="1" t="n">
        <v>45160</v>
      </c>
      <c r="C5707" s="1" t="n">
        <v>45211</v>
      </c>
      <c r="D5707" t="inlineStr">
        <is>
          <t>ÖSTERGÖTLANDS LÄN</t>
        </is>
      </c>
      <c r="E5707" t="inlineStr">
        <is>
          <t>LINKÖPING</t>
        </is>
      </c>
      <c r="G5707" t="n">
        <v>0.8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s="2" t="inlineStr"/>
    </row>
    <row r="5708" ht="15" customHeight="1">
      <c r="A5708" t="inlineStr">
        <is>
          <t>A 37993-2023</t>
        </is>
      </c>
      <c r="B5708" s="1" t="n">
        <v>45160</v>
      </c>
      <c r="C5708" s="1" t="n">
        <v>45211</v>
      </c>
      <c r="D5708" t="inlineStr">
        <is>
          <t>ÖSTERGÖTLANDS LÄN</t>
        </is>
      </c>
      <c r="E5708" t="inlineStr">
        <is>
          <t>SÖDERKÖPING</t>
        </is>
      </c>
      <c r="G5708" t="n">
        <v>0.5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s="2" t="inlineStr"/>
    </row>
    <row r="5709" ht="15" customHeight="1">
      <c r="A5709" t="inlineStr">
        <is>
          <t>A 38212-2023</t>
        </is>
      </c>
      <c r="B5709" s="1" t="n">
        <v>45161</v>
      </c>
      <c r="C5709" s="1" t="n">
        <v>45211</v>
      </c>
      <c r="D5709" t="inlineStr">
        <is>
          <t>ÖSTERGÖTLANDS LÄN</t>
        </is>
      </c>
      <c r="E5709" t="inlineStr">
        <is>
          <t>ÖDESHÖG</t>
        </is>
      </c>
      <c r="G5709" t="n">
        <v>1.6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s="2" t="inlineStr"/>
    </row>
    <row r="5710" ht="15" customHeight="1">
      <c r="A5710" t="inlineStr">
        <is>
          <t>A 38101-2023</t>
        </is>
      </c>
      <c r="B5710" s="1" t="n">
        <v>45161</v>
      </c>
      <c r="C5710" s="1" t="n">
        <v>45211</v>
      </c>
      <c r="D5710" t="inlineStr">
        <is>
          <t>ÖSTERGÖTLANDS LÄN</t>
        </is>
      </c>
      <c r="E5710" t="inlineStr">
        <is>
          <t>NORRKÖPING</t>
        </is>
      </c>
      <c r="G5710" t="n">
        <v>0.8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s="2" t="inlineStr"/>
    </row>
    <row r="5711" ht="15" customHeight="1">
      <c r="A5711" t="inlineStr">
        <is>
          <t>A 38191-2023</t>
        </is>
      </c>
      <c r="B5711" s="1" t="n">
        <v>45161</v>
      </c>
      <c r="C5711" s="1" t="n">
        <v>45211</v>
      </c>
      <c r="D5711" t="inlineStr">
        <is>
          <t>ÖSTERGÖTLANDS LÄN</t>
        </is>
      </c>
      <c r="E5711" t="inlineStr">
        <is>
          <t>BOXHOLM</t>
        </is>
      </c>
      <c r="G5711" t="n">
        <v>8.800000000000001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s="2" t="inlineStr"/>
    </row>
    <row r="5712" ht="15" customHeight="1">
      <c r="A5712" t="inlineStr">
        <is>
          <t>A 38300-2023</t>
        </is>
      </c>
      <c r="B5712" s="1" t="n">
        <v>45161</v>
      </c>
      <c r="C5712" s="1" t="n">
        <v>45211</v>
      </c>
      <c r="D5712" t="inlineStr">
        <is>
          <t>ÖSTERGÖTLANDS LÄN</t>
        </is>
      </c>
      <c r="E5712" t="inlineStr">
        <is>
          <t>MJÖLBY</t>
        </is>
      </c>
      <c r="G5712" t="n">
        <v>1.3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s="2" t="inlineStr"/>
    </row>
    <row r="5713" ht="15" customHeight="1">
      <c r="A5713" t="inlineStr">
        <is>
          <t>A 38341-2023</t>
        </is>
      </c>
      <c r="B5713" s="1" t="n">
        <v>45161</v>
      </c>
      <c r="C5713" s="1" t="n">
        <v>45211</v>
      </c>
      <c r="D5713" t="inlineStr">
        <is>
          <t>ÖSTERGÖTLANDS LÄN</t>
        </is>
      </c>
      <c r="E5713" t="inlineStr">
        <is>
          <t>YDRE</t>
        </is>
      </c>
      <c r="G5713" t="n">
        <v>15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s="2" t="inlineStr"/>
    </row>
    <row r="5714" ht="15" customHeight="1">
      <c r="A5714" t="inlineStr">
        <is>
          <t>A 38878-2023</t>
        </is>
      </c>
      <c r="B5714" s="1" t="n">
        <v>45161</v>
      </c>
      <c r="C5714" s="1" t="n">
        <v>45211</v>
      </c>
      <c r="D5714" t="inlineStr">
        <is>
          <t>ÖSTERGÖTLANDS LÄN</t>
        </is>
      </c>
      <c r="E5714" t="inlineStr">
        <is>
          <t>MOTALA</t>
        </is>
      </c>
      <c r="G5714" t="n">
        <v>1.8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s="2" t="inlineStr"/>
    </row>
    <row r="5715" ht="15" customHeight="1">
      <c r="A5715" t="inlineStr">
        <is>
          <t>A 38881-2023</t>
        </is>
      </c>
      <c r="B5715" s="1" t="n">
        <v>45161</v>
      </c>
      <c r="C5715" s="1" t="n">
        <v>45211</v>
      </c>
      <c r="D5715" t="inlineStr">
        <is>
          <t>ÖSTERGÖTLANDS LÄN</t>
        </is>
      </c>
      <c r="E5715" t="inlineStr">
        <is>
          <t>MOTALA</t>
        </is>
      </c>
      <c r="G5715" t="n">
        <v>2.4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s="2" t="inlineStr"/>
    </row>
    <row r="5716" ht="15" customHeight="1">
      <c r="A5716" t="inlineStr">
        <is>
          <t>A 38130-2023</t>
        </is>
      </c>
      <c r="B5716" s="1" t="n">
        <v>45161</v>
      </c>
      <c r="C5716" s="1" t="n">
        <v>45211</v>
      </c>
      <c r="D5716" t="inlineStr">
        <is>
          <t>ÖSTERGÖTLANDS LÄN</t>
        </is>
      </c>
      <c r="E5716" t="inlineStr">
        <is>
          <t>KINDA</t>
        </is>
      </c>
      <c r="G5716" t="n">
        <v>1.4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s="2" t="inlineStr"/>
    </row>
    <row r="5717" ht="15" customHeight="1">
      <c r="A5717" t="inlineStr">
        <is>
          <t>A 38296-2023</t>
        </is>
      </c>
      <c r="B5717" s="1" t="n">
        <v>45161</v>
      </c>
      <c r="C5717" s="1" t="n">
        <v>45211</v>
      </c>
      <c r="D5717" t="inlineStr">
        <is>
          <t>ÖSTERGÖTLANDS LÄN</t>
        </is>
      </c>
      <c r="E5717" t="inlineStr">
        <is>
          <t>MJÖLBY</t>
        </is>
      </c>
      <c r="G5717" t="n">
        <v>1.2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s="2" t="inlineStr"/>
    </row>
    <row r="5718" ht="15" customHeight="1">
      <c r="A5718" t="inlineStr">
        <is>
          <t>A 38596-2023</t>
        </is>
      </c>
      <c r="B5718" s="1" t="n">
        <v>45162</v>
      </c>
      <c r="C5718" s="1" t="n">
        <v>45211</v>
      </c>
      <c r="D5718" t="inlineStr">
        <is>
          <t>ÖSTERGÖTLANDS LÄN</t>
        </is>
      </c>
      <c r="E5718" t="inlineStr">
        <is>
          <t>KINDA</t>
        </is>
      </c>
      <c r="F5718" t="inlineStr">
        <is>
          <t>Allmännings- och besparingsskogar</t>
        </is>
      </c>
      <c r="G5718" t="n">
        <v>12.2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s="2" t="inlineStr"/>
    </row>
    <row r="5719" ht="15" customHeight="1">
      <c r="A5719" t="inlineStr">
        <is>
          <t>A 38726-2023</t>
        </is>
      </c>
      <c r="B5719" s="1" t="n">
        <v>45163</v>
      </c>
      <c r="C5719" s="1" t="n">
        <v>45211</v>
      </c>
      <c r="D5719" t="inlineStr">
        <is>
          <t>ÖSTERGÖTLANDS LÄN</t>
        </is>
      </c>
      <c r="E5719" t="inlineStr">
        <is>
          <t>ÖDESHÖG</t>
        </is>
      </c>
      <c r="G5719" t="n">
        <v>0.8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s="2" t="inlineStr"/>
    </row>
    <row r="5720" ht="15" customHeight="1">
      <c r="A5720" t="inlineStr">
        <is>
          <t>A 38978-2023</t>
        </is>
      </c>
      <c r="B5720" s="1" t="n">
        <v>45163</v>
      </c>
      <c r="C5720" s="1" t="n">
        <v>45211</v>
      </c>
      <c r="D5720" t="inlineStr">
        <is>
          <t>ÖSTERGÖTLANDS LÄN</t>
        </is>
      </c>
      <c r="E5720" t="inlineStr">
        <is>
          <t>NORRKÖPING</t>
        </is>
      </c>
      <c r="F5720" t="inlineStr">
        <is>
          <t>Holmen skog AB</t>
        </is>
      </c>
      <c r="G5720" t="n">
        <v>8.9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s="2" t="inlineStr"/>
    </row>
    <row r="5721" ht="15" customHeight="1">
      <c r="A5721" t="inlineStr">
        <is>
          <t>A 39028-2023</t>
        </is>
      </c>
      <c r="B5721" s="1" t="n">
        <v>45163</v>
      </c>
      <c r="C5721" s="1" t="n">
        <v>45211</v>
      </c>
      <c r="D5721" t="inlineStr">
        <is>
          <t>ÖSTERGÖTLANDS LÄN</t>
        </is>
      </c>
      <c r="E5721" t="inlineStr">
        <is>
          <t>BOXHOLM</t>
        </is>
      </c>
      <c r="F5721" t="inlineStr">
        <is>
          <t>Allmännings- och besparingsskogar</t>
        </is>
      </c>
      <c r="G5721" t="n">
        <v>2.9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s="2" t="inlineStr"/>
    </row>
    <row r="5722" ht="15" customHeight="1">
      <c r="A5722" t="inlineStr">
        <is>
          <t>A 39033-2023</t>
        </is>
      </c>
      <c r="B5722" s="1" t="n">
        <v>45163</v>
      </c>
      <c r="C5722" s="1" t="n">
        <v>45211</v>
      </c>
      <c r="D5722" t="inlineStr">
        <is>
          <t>ÖSTERGÖTLANDS LÄN</t>
        </is>
      </c>
      <c r="E5722" t="inlineStr">
        <is>
          <t>BOXHOLM</t>
        </is>
      </c>
      <c r="F5722" t="inlineStr">
        <is>
          <t>Allmännings- och besparingsskogar</t>
        </is>
      </c>
      <c r="G5722" t="n">
        <v>3.3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s="2" t="inlineStr"/>
    </row>
    <row r="5723" ht="15" customHeight="1">
      <c r="A5723" t="inlineStr">
        <is>
          <t>A 38720-2023</t>
        </is>
      </c>
      <c r="B5723" s="1" t="n">
        <v>45163</v>
      </c>
      <c r="C5723" s="1" t="n">
        <v>45211</v>
      </c>
      <c r="D5723" t="inlineStr">
        <is>
          <t>ÖSTERGÖTLANDS LÄN</t>
        </is>
      </c>
      <c r="E5723" t="inlineStr">
        <is>
          <t>ÖDESHÖG</t>
        </is>
      </c>
      <c r="G5723" t="n">
        <v>3.1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s="2" t="inlineStr"/>
    </row>
    <row r="5724" ht="15" customHeight="1">
      <c r="A5724" t="inlineStr">
        <is>
          <t>A 38900-2023</t>
        </is>
      </c>
      <c r="B5724" s="1" t="n">
        <v>45163</v>
      </c>
      <c r="C5724" s="1" t="n">
        <v>45211</v>
      </c>
      <c r="D5724" t="inlineStr">
        <is>
          <t>ÖSTERGÖTLANDS LÄN</t>
        </is>
      </c>
      <c r="E5724" t="inlineStr">
        <is>
          <t>LINKÖPING</t>
        </is>
      </c>
      <c r="G5724" t="n">
        <v>1.3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s="2" t="inlineStr"/>
    </row>
    <row r="5725" ht="15" customHeight="1">
      <c r="A5725" t="inlineStr">
        <is>
          <t>A 38919-2023</t>
        </is>
      </c>
      <c r="B5725" s="1" t="n">
        <v>45163</v>
      </c>
      <c r="C5725" s="1" t="n">
        <v>45211</v>
      </c>
      <c r="D5725" t="inlineStr">
        <is>
          <t>ÖSTERGÖTLANDS LÄN</t>
        </is>
      </c>
      <c r="E5725" t="inlineStr">
        <is>
          <t>LINKÖPING</t>
        </is>
      </c>
      <c r="G5725" t="n">
        <v>1.4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s="2" t="inlineStr"/>
    </row>
    <row r="5726" ht="15" customHeight="1">
      <c r="A5726" t="inlineStr">
        <is>
          <t>A 38913-2023</t>
        </is>
      </c>
      <c r="B5726" s="1" t="n">
        <v>45163</v>
      </c>
      <c r="C5726" s="1" t="n">
        <v>45211</v>
      </c>
      <c r="D5726" t="inlineStr">
        <is>
          <t>ÖSTERGÖTLANDS LÄN</t>
        </is>
      </c>
      <c r="E5726" t="inlineStr">
        <is>
          <t>LINKÖPING</t>
        </is>
      </c>
      <c r="G5726" t="n">
        <v>2.7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s="2" t="inlineStr"/>
    </row>
    <row r="5727" ht="15" customHeight="1">
      <c r="A5727" t="inlineStr">
        <is>
          <t>A 39029-2023</t>
        </is>
      </c>
      <c r="B5727" s="1" t="n">
        <v>45163</v>
      </c>
      <c r="C5727" s="1" t="n">
        <v>45211</v>
      </c>
      <c r="D5727" t="inlineStr">
        <is>
          <t>ÖSTERGÖTLANDS LÄN</t>
        </is>
      </c>
      <c r="E5727" t="inlineStr">
        <is>
          <t>BOXHOLM</t>
        </is>
      </c>
      <c r="F5727" t="inlineStr">
        <is>
          <t>Allmännings- och besparingsskogar</t>
        </is>
      </c>
      <c r="G5727" t="n">
        <v>1.1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s="2" t="inlineStr"/>
    </row>
    <row r="5728" ht="15" customHeight="1">
      <c r="A5728" t="inlineStr">
        <is>
          <t>A 38723-2023</t>
        </is>
      </c>
      <c r="B5728" s="1" t="n">
        <v>45163</v>
      </c>
      <c r="C5728" s="1" t="n">
        <v>45211</v>
      </c>
      <c r="D5728" t="inlineStr">
        <is>
          <t>ÖSTERGÖTLANDS LÄN</t>
        </is>
      </c>
      <c r="E5728" t="inlineStr">
        <is>
          <t>ÖDESHÖG</t>
        </is>
      </c>
      <c r="G5728" t="n">
        <v>0.5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s="2" t="inlineStr"/>
    </row>
    <row r="5729" ht="15" customHeight="1">
      <c r="A5729" t="inlineStr">
        <is>
          <t>A 38975-2023</t>
        </is>
      </c>
      <c r="B5729" s="1" t="n">
        <v>45163</v>
      </c>
      <c r="C5729" s="1" t="n">
        <v>45211</v>
      </c>
      <c r="D5729" t="inlineStr">
        <is>
          <t>ÖSTERGÖTLANDS LÄN</t>
        </is>
      </c>
      <c r="E5729" t="inlineStr">
        <is>
          <t>KINDA</t>
        </is>
      </c>
      <c r="G5729" t="n">
        <v>0.7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s="2" t="inlineStr"/>
    </row>
    <row r="5730" ht="15" customHeight="1">
      <c r="A5730" t="inlineStr">
        <is>
          <t>A 39031-2023</t>
        </is>
      </c>
      <c r="B5730" s="1" t="n">
        <v>45163</v>
      </c>
      <c r="C5730" s="1" t="n">
        <v>45211</v>
      </c>
      <c r="D5730" t="inlineStr">
        <is>
          <t>ÖSTERGÖTLANDS LÄN</t>
        </is>
      </c>
      <c r="E5730" t="inlineStr">
        <is>
          <t>BOXHOLM</t>
        </is>
      </c>
      <c r="F5730" t="inlineStr">
        <is>
          <t>Allmännings- och besparingsskogar</t>
        </is>
      </c>
      <c r="G5730" t="n">
        <v>0.7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s="2" t="inlineStr"/>
    </row>
    <row r="5731" ht="15" customHeight="1">
      <c r="A5731" t="inlineStr">
        <is>
          <t>A 39567-2023</t>
        </is>
      </c>
      <c r="B5731" s="1" t="n">
        <v>45163</v>
      </c>
      <c r="C5731" s="1" t="n">
        <v>45211</v>
      </c>
      <c r="D5731" t="inlineStr">
        <is>
          <t>ÖSTERGÖTLANDS LÄN</t>
        </is>
      </c>
      <c r="E5731" t="inlineStr">
        <is>
          <t>KINDA</t>
        </is>
      </c>
      <c r="G5731" t="n">
        <v>2.8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s="2" t="inlineStr"/>
    </row>
    <row r="5732" ht="15" customHeight="1">
      <c r="A5732" t="inlineStr">
        <is>
          <t>A 39190-2023</t>
        </is>
      </c>
      <c r="B5732" s="1" t="n">
        <v>45166</v>
      </c>
      <c r="C5732" s="1" t="n">
        <v>45211</v>
      </c>
      <c r="D5732" t="inlineStr">
        <is>
          <t>ÖSTERGÖTLANDS LÄN</t>
        </is>
      </c>
      <c r="E5732" t="inlineStr">
        <is>
          <t>ÖDESHÖG</t>
        </is>
      </c>
      <c r="G5732" t="n">
        <v>0.7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s="2" t="inlineStr"/>
    </row>
    <row r="5733" ht="15" customHeight="1">
      <c r="A5733" t="inlineStr">
        <is>
          <t>A 39155-2023</t>
        </is>
      </c>
      <c r="B5733" s="1" t="n">
        <v>45166</v>
      </c>
      <c r="C5733" s="1" t="n">
        <v>45211</v>
      </c>
      <c r="D5733" t="inlineStr">
        <is>
          <t>ÖSTERGÖTLANDS LÄN</t>
        </is>
      </c>
      <c r="E5733" t="inlineStr">
        <is>
          <t>ÅTVIDABERG</t>
        </is>
      </c>
      <c r="G5733" t="n">
        <v>1.8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s="2" t="inlineStr"/>
    </row>
    <row r="5734" ht="15" customHeight="1">
      <c r="A5734" t="inlineStr">
        <is>
          <t>A 39333-2023</t>
        </is>
      </c>
      <c r="B5734" s="1" t="n">
        <v>45166</v>
      </c>
      <c r="C5734" s="1" t="n">
        <v>45211</v>
      </c>
      <c r="D5734" t="inlineStr">
        <is>
          <t>ÖSTERGÖTLANDS LÄN</t>
        </is>
      </c>
      <c r="E5734" t="inlineStr">
        <is>
          <t>LINKÖPING</t>
        </is>
      </c>
      <c r="G5734" t="n">
        <v>1.8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s="2" t="inlineStr"/>
    </row>
    <row r="5735" ht="15" customHeight="1">
      <c r="A5735" t="inlineStr">
        <is>
          <t>A 39375-2023</t>
        </is>
      </c>
      <c r="B5735" s="1" t="n">
        <v>45166</v>
      </c>
      <c r="C5735" s="1" t="n">
        <v>45211</v>
      </c>
      <c r="D5735" t="inlineStr">
        <is>
          <t>ÖSTERGÖTLANDS LÄN</t>
        </is>
      </c>
      <c r="E5735" t="inlineStr">
        <is>
          <t>SÖDERKÖPING</t>
        </is>
      </c>
      <c r="G5735" t="n">
        <v>4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s="2" t="inlineStr"/>
    </row>
    <row r="5736" ht="15" customHeight="1">
      <c r="A5736" t="inlineStr">
        <is>
          <t>A 39520-2023</t>
        </is>
      </c>
      <c r="B5736" s="1" t="n">
        <v>45167</v>
      </c>
      <c r="C5736" s="1" t="n">
        <v>45211</v>
      </c>
      <c r="D5736" t="inlineStr">
        <is>
          <t>ÖSTERGÖTLANDS LÄN</t>
        </is>
      </c>
      <c r="E5736" t="inlineStr">
        <is>
          <t>VALDEMARSVIK</t>
        </is>
      </c>
      <c r="G5736" t="n">
        <v>1.3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s="2" t="inlineStr"/>
    </row>
    <row r="5737" ht="15" customHeight="1">
      <c r="A5737" t="inlineStr">
        <is>
          <t>A 39774-2023</t>
        </is>
      </c>
      <c r="B5737" s="1" t="n">
        <v>45167</v>
      </c>
      <c r="C5737" s="1" t="n">
        <v>45211</v>
      </c>
      <c r="D5737" t="inlineStr">
        <is>
          <t>ÖSTERGÖTLANDS LÄN</t>
        </is>
      </c>
      <c r="E5737" t="inlineStr">
        <is>
          <t>KINDA</t>
        </is>
      </c>
      <c r="G5737" t="n">
        <v>1.8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s="2" t="inlineStr"/>
    </row>
    <row r="5738" ht="15" customHeight="1">
      <c r="A5738" t="inlineStr">
        <is>
          <t>A 39518-2023</t>
        </is>
      </c>
      <c r="B5738" s="1" t="n">
        <v>45167</v>
      </c>
      <c r="C5738" s="1" t="n">
        <v>45211</v>
      </c>
      <c r="D5738" t="inlineStr">
        <is>
          <t>ÖSTERGÖTLANDS LÄN</t>
        </is>
      </c>
      <c r="E5738" t="inlineStr">
        <is>
          <t>VALDEMARSVIK</t>
        </is>
      </c>
      <c r="G5738" t="n">
        <v>6.1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s="2" t="inlineStr"/>
    </row>
    <row r="5739" ht="15" customHeight="1">
      <c r="A5739" t="inlineStr">
        <is>
          <t>A 39580-2023</t>
        </is>
      </c>
      <c r="B5739" s="1" t="n">
        <v>45167</v>
      </c>
      <c r="C5739" s="1" t="n">
        <v>45211</v>
      </c>
      <c r="D5739" t="inlineStr">
        <is>
          <t>ÖSTERGÖTLANDS LÄN</t>
        </is>
      </c>
      <c r="E5739" t="inlineStr">
        <is>
          <t>ÅTVIDABERG</t>
        </is>
      </c>
      <c r="G5739" t="n">
        <v>1.2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s="2" t="inlineStr"/>
    </row>
    <row r="5740" ht="15" customHeight="1">
      <c r="A5740" t="inlineStr">
        <is>
          <t>A 39655-2023</t>
        </is>
      </c>
      <c r="B5740" s="1" t="n">
        <v>45167</v>
      </c>
      <c r="C5740" s="1" t="n">
        <v>45211</v>
      </c>
      <c r="D5740" t="inlineStr">
        <is>
          <t>ÖSTERGÖTLANDS LÄN</t>
        </is>
      </c>
      <c r="E5740" t="inlineStr">
        <is>
          <t>FINSPÅNG</t>
        </is>
      </c>
      <c r="F5740" t="inlineStr">
        <is>
          <t>Kyrkan</t>
        </is>
      </c>
      <c r="G5740" t="n">
        <v>2.5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s="2" t="inlineStr"/>
    </row>
    <row r="5741" ht="15" customHeight="1">
      <c r="A5741" t="inlineStr">
        <is>
          <t>A 39740-2023</t>
        </is>
      </c>
      <c r="B5741" s="1" t="n">
        <v>45167</v>
      </c>
      <c r="C5741" s="1" t="n">
        <v>45211</v>
      </c>
      <c r="D5741" t="inlineStr">
        <is>
          <t>ÖSTERGÖTLANDS LÄN</t>
        </is>
      </c>
      <c r="E5741" t="inlineStr">
        <is>
          <t>FINSPÅNG</t>
        </is>
      </c>
      <c r="G5741" t="n">
        <v>0.9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s="2" t="inlineStr"/>
    </row>
    <row r="5742" ht="15" customHeight="1">
      <c r="A5742" t="inlineStr">
        <is>
          <t>A 39967-2023</t>
        </is>
      </c>
      <c r="B5742" s="1" t="n">
        <v>45168</v>
      </c>
      <c r="C5742" s="1" t="n">
        <v>45211</v>
      </c>
      <c r="D5742" t="inlineStr">
        <is>
          <t>ÖSTERGÖTLANDS LÄN</t>
        </is>
      </c>
      <c r="E5742" t="inlineStr">
        <is>
          <t>LINKÖPING</t>
        </is>
      </c>
      <c r="G5742" t="n">
        <v>3.5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s="2" t="inlineStr"/>
    </row>
    <row r="5743" ht="15" customHeight="1">
      <c r="A5743" t="inlineStr">
        <is>
          <t>A 39837-2023</t>
        </is>
      </c>
      <c r="B5743" s="1" t="n">
        <v>45168</v>
      </c>
      <c r="C5743" s="1" t="n">
        <v>45211</v>
      </c>
      <c r="D5743" t="inlineStr">
        <is>
          <t>ÖSTERGÖTLANDS LÄN</t>
        </is>
      </c>
      <c r="E5743" t="inlineStr">
        <is>
          <t>ÅTVIDABERG</t>
        </is>
      </c>
      <c r="F5743" t="inlineStr">
        <is>
          <t>Kyrkan</t>
        </is>
      </c>
      <c r="G5743" t="n">
        <v>2.3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s="2" t="inlineStr"/>
    </row>
    <row r="5744" ht="15" customHeight="1">
      <c r="A5744" t="inlineStr">
        <is>
          <t>A 40356-2023</t>
        </is>
      </c>
      <c r="B5744" s="1" t="n">
        <v>45169</v>
      </c>
      <c r="C5744" s="1" t="n">
        <v>45211</v>
      </c>
      <c r="D5744" t="inlineStr">
        <is>
          <t>ÖSTERGÖTLANDS LÄN</t>
        </is>
      </c>
      <c r="E5744" t="inlineStr">
        <is>
          <t>SÖDERKÖPING</t>
        </is>
      </c>
      <c r="G5744" t="n">
        <v>1.5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s="2" t="inlineStr"/>
    </row>
    <row r="5745" ht="15" customHeight="1">
      <c r="A5745" t="inlineStr">
        <is>
          <t>A 40148-2023</t>
        </is>
      </c>
      <c r="B5745" s="1" t="n">
        <v>45169</v>
      </c>
      <c r="C5745" s="1" t="n">
        <v>45211</v>
      </c>
      <c r="D5745" t="inlineStr">
        <is>
          <t>ÖSTERGÖTLANDS LÄN</t>
        </is>
      </c>
      <c r="E5745" t="inlineStr">
        <is>
          <t>LINKÖPING</t>
        </is>
      </c>
      <c r="G5745" t="n">
        <v>2.2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s="2" t="inlineStr"/>
    </row>
    <row r="5746" ht="15" customHeight="1">
      <c r="A5746" t="inlineStr">
        <is>
          <t>A 40351-2023</t>
        </is>
      </c>
      <c r="B5746" s="1" t="n">
        <v>45169</v>
      </c>
      <c r="C5746" s="1" t="n">
        <v>45211</v>
      </c>
      <c r="D5746" t="inlineStr">
        <is>
          <t>ÖSTERGÖTLANDS LÄN</t>
        </is>
      </c>
      <c r="E5746" t="inlineStr">
        <is>
          <t>SÖDERKÖPING</t>
        </is>
      </c>
      <c r="G5746" t="n">
        <v>0.9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s="2" t="inlineStr"/>
    </row>
    <row r="5747" ht="15" customHeight="1">
      <c r="A5747" t="inlineStr">
        <is>
          <t>A 40350-2023</t>
        </is>
      </c>
      <c r="B5747" s="1" t="n">
        <v>45169</v>
      </c>
      <c r="C5747" s="1" t="n">
        <v>45211</v>
      </c>
      <c r="D5747" t="inlineStr">
        <is>
          <t>ÖSTERGÖTLANDS LÄN</t>
        </is>
      </c>
      <c r="E5747" t="inlineStr">
        <is>
          <t>SÖDERKÖPING</t>
        </is>
      </c>
      <c r="G5747" t="n">
        <v>2.4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s="2" t="inlineStr"/>
    </row>
    <row r="5748" ht="15" customHeight="1">
      <c r="A5748" t="inlineStr">
        <is>
          <t>A 40357-2023</t>
        </is>
      </c>
      <c r="B5748" s="1" t="n">
        <v>45169</v>
      </c>
      <c r="C5748" s="1" t="n">
        <v>45211</v>
      </c>
      <c r="D5748" t="inlineStr">
        <is>
          <t>ÖSTERGÖTLANDS LÄN</t>
        </is>
      </c>
      <c r="E5748" t="inlineStr">
        <is>
          <t>SÖDERKÖPING</t>
        </is>
      </c>
      <c r="G5748" t="n">
        <v>1.9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s="2" t="inlineStr"/>
    </row>
    <row r="5749" ht="15" customHeight="1">
      <c r="A5749" t="inlineStr">
        <is>
          <t>A 40279-2023</t>
        </is>
      </c>
      <c r="B5749" s="1" t="n">
        <v>45169</v>
      </c>
      <c r="C5749" s="1" t="n">
        <v>45211</v>
      </c>
      <c r="D5749" t="inlineStr">
        <is>
          <t>ÖSTERGÖTLANDS LÄN</t>
        </is>
      </c>
      <c r="E5749" t="inlineStr">
        <is>
          <t>ÅTVIDABERG</t>
        </is>
      </c>
      <c r="G5749" t="n">
        <v>3.2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s="2" t="inlineStr"/>
    </row>
    <row r="5750" ht="15" customHeight="1">
      <c r="A5750" t="inlineStr">
        <is>
          <t>A 40340-2023</t>
        </is>
      </c>
      <c r="B5750" s="1" t="n">
        <v>45169</v>
      </c>
      <c r="C5750" s="1" t="n">
        <v>45211</v>
      </c>
      <c r="D5750" t="inlineStr">
        <is>
          <t>ÖSTERGÖTLANDS LÄN</t>
        </is>
      </c>
      <c r="E5750" t="inlineStr">
        <is>
          <t>YDRE</t>
        </is>
      </c>
      <c r="G5750" t="n">
        <v>4.8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s="2" t="inlineStr"/>
    </row>
    <row r="5751" ht="15" customHeight="1">
      <c r="A5751" t="inlineStr">
        <is>
          <t>A 40700-2023</t>
        </is>
      </c>
      <c r="B5751" s="1" t="n">
        <v>45170</v>
      </c>
      <c r="C5751" s="1" t="n">
        <v>45211</v>
      </c>
      <c r="D5751" t="inlineStr">
        <is>
          <t>ÖSTERGÖTLANDS LÄN</t>
        </is>
      </c>
      <c r="E5751" t="inlineStr">
        <is>
          <t>YDRE</t>
        </is>
      </c>
      <c r="G5751" t="n">
        <v>1.8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s="2" t="inlineStr"/>
    </row>
    <row r="5752" ht="15" customHeight="1">
      <c r="A5752" t="inlineStr">
        <is>
          <t>A 40692-2023</t>
        </is>
      </c>
      <c r="B5752" s="1" t="n">
        <v>45170</v>
      </c>
      <c r="C5752" s="1" t="n">
        <v>45211</v>
      </c>
      <c r="D5752" t="inlineStr">
        <is>
          <t>ÖSTERGÖTLANDS LÄN</t>
        </is>
      </c>
      <c r="E5752" t="inlineStr">
        <is>
          <t>YDRE</t>
        </is>
      </c>
      <c r="G5752" t="n">
        <v>0.6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s="2" t="inlineStr"/>
    </row>
    <row r="5753" ht="15" customHeight="1">
      <c r="A5753" t="inlineStr">
        <is>
          <t>A 40553-2023</t>
        </is>
      </c>
      <c r="B5753" s="1" t="n">
        <v>45170</v>
      </c>
      <c r="C5753" s="1" t="n">
        <v>45211</v>
      </c>
      <c r="D5753" t="inlineStr">
        <is>
          <t>ÖSTERGÖTLANDS LÄN</t>
        </is>
      </c>
      <c r="E5753" t="inlineStr">
        <is>
          <t>ÅTVIDABERG</t>
        </is>
      </c>
      <c r="F5753" t="inlineStr">
        <is>
          <t>Kyrkan</t>
        </is>
      </c>
      <c r="G5753" t="n">
        <v>5.4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s="2" t="inlineStr"/>
    </row>
    <row r="5754" ht="15" customHeight="1">
      <c r="A5754" t="inlineStr">
        <is>
          <t>A 41328-2023</t>
        </is>
      </c>
      <c r="B5754" s="1" t="n">
        <v>45174</v>
      </c>
      <c r="C5754" s="1" t="n">
        <v>45211</v>
      </c>
      <c r="D5754" t="inlineStr">
        <is>
          <t>ÖSTERGÖTLANDS LÄN</t>
        </is>
      </c>
      <c r="E5754" t="inlineStr">
        <is>
          <t>FINSPÅNG</t>
        </is>
      </c>
      <c r="F5754" t="inlineStr">
        <is>
          <t>Kyrkan</t>
        </is>
      </c>
      <c r="G5754" t="n">
        <v>1.5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s="2" t="inlineStr"/>
    </row>
    <row r="5755" ht="15" customHeight="1">
      <c r="A5755" t="inlineStr">
        <is>
          <t>A 41231-2023</t>
        </is>
      </c>
      <c r="B5755" s="1" t="n">
        <v>45174</v>
      </c>
      <c r="C5755" s="1" t="n">
        <v>45211</v>
      </c>
      <c r="D5755" t="inlineStr">
        <is>
          <t>ÖSTERGÖTLANDS LÄN</t>
        </is>
      </c>
      <c r="E5755" t="inlineStr">
        <is>
          <t>KINDA</t>
        </is>
      </c>
      <c r="G5755" t="n">
        <v>0.5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s="2" t="inlineStr"/>
    </row>
    <row r="5756" ht="15" customHeight="1">
      <c r="A5756" t="inlineStr">
        <is>
          <t>A 42673-2023</t>
        </is>
      </c>
      <c r="B5756" s="1" t="n">
        <v>45181</v>
      </c>
      <c r="C5756" s="1" t="n">
        <v>45211</v>
      </c>
      <c r="D5756" t="inlineStr">
        <is>
          <t>ÖSTERGÖTLANDS LÄN</t>
        </is>
      </c>
      <c r="E5756" t="inlineStr">
        <is>
          <t>SÖDERKÖPING</t>
        </is>
      </c>
      <c r="G5756" t="n">
        <v>0.3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s="2" t="inlineStr"/>
    </row>
    <row r="5757" ht="15" customHeight="1">
      <c r="A5757" t="inlineStr">
        <is>
          <t>A 42733-2023</t>
        </is>
      </c>
      <c r="B5757" s="1" t="n">
        <v>45181</v>
      </c>
      <c r="C5757" s="1" t="n">
        <v>45211</v>
      </c>
      <c r="D5757" t="inlineStr">
        <is>
          <t>ÖSTERGÖTLANDS LÄN</t>
        </is>
      </c>
      <c r="E5757" t="inlineStr">
        <is>
          <t>SÖDERKÖPING</t>
        </is>
      </c>
      <c r="G5757" t="n">
        <v>2.7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s="2" t="inlineStr"/>
    </row>
    <row r="5758" ht="15" customHeight="1">
      <c r="A5758" t="inlineStr">
        <is>
          <t>A 42753-2023</t>
        </is>
      </c>
      <c r="B5758" s="1" t="n">
        <v>45181</v>
      </c>
      <c r="C5758" s="1" t="n">
        <v>45211</v>
      </c>
      <c r="D5758" t="inlineStr">
        <is>
          <t>ÖSTERGÖTLANDS LÄN</t>
        </is>
      </c>
      <c r="E5758" t="inlineStr">
        <is>
          <t>SÖDERKÖPING</t>
        </is>
      </c>
      <c r="G5758" t="n">
        <v>0.5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s="2" t="inlineStr"/>
    </row>
    <row r="5759" ht="15" customHeight="1">
      <c r="A5759" t="inlineStr">
        <is>
          <t>A 42837-2023</t>
        </is>
      </c>
      <c r="B5759" s="1" t="n">
        <v>45182</v>
      </c>
      <c r="C5759" s="1" t="n">
        <v>45211</v>
      </c>
      <c r="D5759" t="inlineStr">
        <is>
          <t>ÖSTERGÖTLANDS LÄN</t>
        </is>
      </c>
      <c r="E5759" t="inlineStr">
        <is>
          <t>MJÖLBY</t>
        </is>
      </c>
      <c r="G5759" t="n">
        <v>2.2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s="2" t="inlineStr"/>
    </row>
    <row r="5760" ht="15" customHeight="1">
      <c r="A5760" t="inlineStr">
        <is>
          <t>A 42956-2023</t>
        </is>
      </c>
      <c r="B5760" s="1" t="n">
        <v>45182</v>
      </c>
      <c r="C5760" s="1" t="n">
        <v>45211</v>
      </c>
      <c r="D5760" t="inlineStr">
        <is>
          <t>ÖSTERGÖTLANDS LÄN</t>
        </is>
      </c>
      <c r="E5760" t="inlineStr">
        <is>
          <t>KINDA</t>
        </is>
      </c>
      <c r="G5760" t="n">
        <v>1.5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s="2" t="inlineStr"/>
    </row>
    <row r="5761" ht="15" customHeight="1">
      <c r="A5761" t="inlineStr">
        <is>
          <t>A 43082-2023</t>
        </is>
      </c>
      <c r="B5761" s="1" t="n">
        <v>45182</v>
      </c>
      <c r="C5761" s="1" t="n">
        <v>45211</v>
      </c>
      <c r="D5761" t="inlineStr">
        <is>
          <t>ÖSTERGÖTLANDS LÄN</t>
        </is>
      </c>
      <c r="E5761" t="inlineStr">
        <is>
          <t>ÅTVIDABERG</t>
        </is>
      </c>
      <c r="G5761" t="n">
        <v>2.4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s="2" t="inlineStr"/>
    </row>
    <row r="5762" ht="15" customHeight="1">
      <c r="A5762" t="inlineStr">
        <is>
          <t>A 42928-2023</t>
        </is>
      </c>
      <c r="B5762" s="1" t="n">
        <v>45182</v>
      </c>
      <c r="C5762" s="1" t="n">
        <v>45211</v>
      </c>
      <c r="D5762" t="inlineStr">
        <is>
          <t>ÖSTERGÖTLANDS LÄN</t>
        </is>
      </c>
      <c r="E5762" t="inlineStr">
        <is>
          <t>MOTALA</t>
        </is>
      </c>
      <c r="F5762" t="inlineStr">
        <is>
          <t>Kyrkan</t>
        </is>
      </c>
      <c r="G5762" t="n">
        <v>3.3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s="2" t="inlineStr"/>
    </row>
    <row r="5763" ht="15" customHeight="1">
      <c r="A5763" t="inlineStr">
        <is>
          <t>A 43263-2023</t>
        </is>
      </c>
      <c r="B5763" s="1" t="n">
        <v>45183</v>
      </c>
      <c r="C5763" s="1" t="n">
        <v>45211</v>
      </c>
      <c r="D5763" t="inlineStr">
        <is>
          <t>ÖSTERGÖTLANDS LÄN</t>
        </is>
      </c>
      <c r="E5763" t="inlineStr">
        <is>
          <t>ÖDESHÖG</t>
        </is>
      </c>
      <c r="G5763" t="n">
        <v>1.8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s="2" t="inlineStr"/>
    </row>
    <row r="5764" ht="15" customHeight="1">
      <c r="A5764" t="inlineStr">
        <is>
          <t>A 43257-2023</t>
        </is>
      </c>
      <c r="B5764" s="1" t="n">
        <v>45183</v>
      </c>
      <c r="C5764" s="1" t="n">
        <v>45211</v>
      </c>
      <c r="D5764" t="inlineStr">
        <is>
          <t>ÖSTERGÖTLANDS LÄN</t>
        </is>
      </c>
      <c r="E5764" t="inlineStr">
        <is>
          <t>MOTALA</t>
        </is>
      </c>
      <c r="G5764" t="n">
        <v>1.3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s="2" t="inlineStr"/>
    </row>
    <row r="5765" ht="15" customHeight="1">
      <c r="A5765" t="inlineStr">
        <is>
          <t>A 43265-2023</t>
        </is>
      </c>
      <c r="B5765" s="1" t="n">
        <v>45183</v>
      </c>
      <c r="C5765" s="1" t="n">
        <v>45211</v>
      </c>
      <c r="D5765" t="inlineStr">
        <is>
          <t>ÖSTERGÖTLANDS LÄN</t>
        </is>
      </c>
      <c r="E5765" t="inlineStr">
        <is>
          <t>ÖDESHÖG</t>
        </is>
      </c>
      <c r="G5765" t="n">
        <v>2.8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s="2" t="inlineStr"/>
    </row>
    <row r="5766" ht="15" customHeight="1">
      <c r="A5766" t="inlineStr">
        <is>
          <t>A 43546-2023</t>
        </is>
      </c>
      <c r="B5766" s="1" t="n">
        <v>45184</v>
      </c>
      <c r="C5766" s="1" t="n">
        <v>45211</v>
      </c>
      <c r="D5766" t="inlineStr">
        <is>
          <t>ÖSTERGÖTLANDS LÄN</t>
        </is>
      </c>
      <c r="E5766" t="inlineStr">
        <is>
          <t>SÖDERKÖPING</t>
        </is>
      </c>
      <c r="G5766" t="n">
        <v>1.5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s="2" t="inlineStr"/>
    </row>
    <row r="5767" ht="15" customHeight="1">
      <c r="A5767" t="inlineStr">
        <is>
          <t>A 43455-2023</t>
        </is>
      </c>
      <c r="B5767" s="1" t="n">
        <v>45184</v>
      </c>
      <c r="C5767" s="1" t="n">
        <v>45211</v>
      </c>
      <c r="D5767" t="inlineStr">
        <is>
          <t>ÖSTERGÖTLANDS LÄN</t>
        </is>
      </c>
      <c r="E5767" t="inlineStr">
        <is>
          <t>YDRE</t>
        </is>
      </c>
      <c r="G5767" t="n">
        <v>1.8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s="2" t="inlineStr"/>
    </row>
    <row r="5768" ht="15" customHeight="1">
      <c r="A5768" t="inlineStr">
        <is>
          <t>A 43521-2023</t>
        </is>
      </c>
      <c r="B5768" s="1" t="n">
        <v>45184</v>
      </c>
      <c r="C5768" s="1" t="n">
        <v>45211</v>
      </c>
      <c r="D5768" t="inlineStr">
        <is>
          <t>ÖSTERGÖTLANDS LÄN</t>
        </is>
      </c>
      <c r="E5768" t="inlineStr">
        <is>
          <t>ÖDESHÖG</t>
        </is>
      </c>
      <c r="G5768" t="n">
        <v>1.1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s="2" t="inlineStr"/>
    </row>
    <row r="5769" ht="15" customHeight="1">
      <c r="A5769" t="inlineStr">
        <is>
          <t>A 43460-2023</t>
        </is>
      </c>
      <c r="B5769" s="1" t="n">
        <v>45184</v>
      </c>
      <c r="C5769" s="1" t="n">
        <v>45211</v>
      </c>
      <c r="D5769" t="inlineStr">
        <is>
          <t>ÖSTERGÖTLANDS LÄN</t>
        </is>
      </c>
      <c r="E5769" t="inlineStr">
        <is>
          <t>NORRKÖPING</t>
        </is>
      </c>
      <c r="F5769" t="inlineStr">
        <is>
          <t>Holmen skog AB</t>
        </is>
      </c>
      <c r="G5769" t="n">
        <v>1.3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s="2" t="inlineStr"/>
    </row>
    <row r="5770" ht="15" customHeight="1">
      <c r="A5770" t="inlineStr">
        <is>
          <t>A 43495-2023</t>
        </is>
      </c>
      <c r="B5770" s="1" t="n">
        <v>45184</v>
      </c>
      <c r="C5770" s="1" t="n">
        <v>45211</v>
      </c>
      <c r="D5770" t="inlineStr">
        <is>
          <t>ÖSTERGÖTLANDS LÄN</t>
        </is>
      </c>
      <c r="E5770" t="inlineStr">
        <is>
          <t>SÖDERKÖPING</t>
        </is>
      </c>
      <c r="G5770" t="n">
        <v>2.7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s="2" t="inlineStr"/>
    </row>
    <row r="5771" ht="15" customHeight="1">
      <c r="A5771" t="inlineStr">
        <is>
          <t>A 43611-2023</t>
        </is>
      </c>
      <c r="B5771" s="1" t="n">
        <v>45184</v>
      </c>
      <c r="C5771" s="1" t="n">
        <v>45211</v>
      </c>
      <c r="D5771" t="inlineStr">
        <is>
          <t>ÖSTERGÖTLANDS LÄN</t>
        </is>
      </c>
      <c r="E5771" t="inlineStr">
        <is>
          <t>SÖDERKÖPING</t>
        </is>
      </c>
      <c r="G5771" t="n">
        <v>1.2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s="2" t="inlineStr"/>
    </row>
    <row r="5772" ht="15" customHeight="1">
      <c r="A5772" t="inlineStr">
        <is>
          <t>A 43703-2023</t>
        </is>
      </c>
      <c r="B5772" s="1" t="n">
        <v>45187</v>
      </c>
      <c r="C5772" s="1" t="n">
        <v>45211</v>
      </c>
      <c r="D5772" t="inlineStr">
        <is>
          <t>ÖSTERGÖTLANDS LÄN</t>
        </is>
      </c>
      <c r="E5772" t="inlineStr">
        <is>
          <t>LINKÖPING</t>
        </is>
      </c>
      <c r="G5772" t="n">
        <v>1.8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s="2" t="inlineStr"/>
    </row>
    <row r="5773" ht="15" customHeight="1">
      <c r="A5773" t="inlineStr">
        <is>
          <t>A 43938-2023</t>
        </is>
      </c>
      <c r="B5773" s="1" t="n">
        <v>45187</v>
      </c>
      <c r="C5773" s="1" t="n">
        <v>45211</v>
      </c>
      <c r="D5773" t="inlineStr">
        <is>
          <t>ÖSTERGÖTLANDS LÄN</t>
        </is>
      </c>
      <c r="E5773" t="inlineStr">
        <is>
          <t>ÅTVIDABERG</t>
        </is>
      </c>
      <c r="F5773" t="inlineStr">
        <is>
          <t>Övriga Aktiebolag</t>
        </is>
      </c>
      <c r="G5773" t="n">
        <v>2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s="2" t="inlineStr"/>
    </row>
    <row r="5774" ht="15" customHeight="1">
      <c r="A5774" t="inlineStr">
        <is>
          <t>A 43904-2023</t>
        </is>
      </c>
      <c r="B5774" s="1" t="n">
        <v>45187</v>
      </c>
      <c r="C5774" s="1" t="n">
        <v>45211</v>
      </c>
      <c r="D5774" t="inlineStr">
        <is>
          <t>ÖSTERGÖTLANDS LÄN</t>
        </is>
      </c>
      <c r="E5774" t="inlineStr">
        <is>
          <t>YDRE</t>
        </is>
      </c>
      <c r="G5774" t="n">
        <v>4.5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s="2" t="inlineStr"/>
    </row>
    <row r="5775" ht="15" customHeight="1">
      <c r="A5775" t="inlineStr">
        <is>
          <t>A 43934-2023</t>
        </is>
      </c>
      <c r="B5775" s="1" t="n">
        <v>45187</v>
      </c>
      <c r="C5775" s="1" t="n">
        <v>45211</v>
      </c>
      <c r="D5775" t="inlineStr">
        <is>
          <t>ÖSTERGÖTLANDS LÄN</t>
        </is>
      </c>
      <c r="E5775" t="inlineStr">
        <is>
          <t>LINKÖPING</t>
        </is>
      </c>
      <c r="F5775" t="inlineStr">
        <is>
          <t>Övriga Aktiebolag</t>
        </is>
      </c>
      <c r="G5775" t="n">
        <v>3.8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s="2" t="inlineStr"/>
    </row>
    <row r="5776" ht="15" customHeight="1">
      <c r="A5776" t="inlineStr">
        <is>
          <t>A 43807-2023</t>
        </is>
      </c>
      <c r="B5776" s="1" t="n">
        <v>45187</v>
      </c>
      <c r="C5776" s="1" t="n">
        <v>45211</v>
      </c>
      <c r="D5776" t="inlineStr">
        <is>
          <t>ÖSTERGÖTLANDS LÄN</t>
        </is>
      </c>
      <c r="E5776" t="inlineStr">
        <is>
          <t>BOXHOLM</t>
        </is>
      </c>
      <c r="G5776" t="n">
        <v>2.2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s="2" t="inlineStr"/>
    </row>
    <row r="5777" ht="15" customHeight="1">
      <c r="A5777" t="inlineStr">
        <is>
          <t>A 43688-2023</t>
        </is>
      </c>
      <c r="B5777" s="1" t="n">
        <v>45187</v>
      </c>
      <c r="C5777" s="1" t="n">
        <v>45211</v>
      </c>
      <c r="D5777" t="inlineStr">
        <is>
          <t>ÖSTERGÖTLANDS LÄN</t>
        </is>
      </c>
      <c r="E5777" t="inlineStr">
        <is>
          <t>KINDA</t>
        </is>
      </c>
      <c r="F5777" t="inlineStr">
        <is>
          <t>Övriga Aktiebolag</t>
        </is>
      </c>
      <c r="G5777" t="n">
        <v>1.5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s="2" t="inlineStr"/>
    </row>
    <row r="5778" ht="15" customHeight="1">
      <c r="A5778" t="inlineStr">
        <is>
          <t>A 43824-2023</t>
        </is>
      </c>
      <c r="B5778" s="1" t="n">
        <v>45187</v>
      </c>
      <c r="C5778" s="1" t="n">
        <v>45211</v>
      </c>
      <c r="D5778" t="inlineStr">
        <is>
          <t>ÖSTERGÖTLANDS LÄN</t>
        </is>
      </c>
      <c r="E5778" t="inlineStr">
        <is>
          <t>BOXHOLM</t>
        </is>
      </c>
      <c r="G5778" t="n">
        <v>1.6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s="2" t="inlineStr"/>
    </row>
    <row r="5779" ht="15" customHeight="1">
      <c r="A5779" t="inlineStr">
        <is>
          <t>A 43940-2023</t>
        </is>
      </c>
      <c r="B5779" s="1" t="n">
        <v>45187</v>
      </c>
      <c r="C5779" s="1" t="n">
        <v>45211</v>
      </c>
      <c r="D5779" t="inlineStr">
        <is>
          <t>ÖSTERGÖTLANDS LÄN</t>
        </is>
      </c>
      <c r="E5779" t="inlineStr">
        <is>
          <t>ÅTVIDABERG</t>
        </is>
      </c>
      <c r="F5779" t="inlineStr">
        <is>
          <t>Övriga Aktiebolag</t>
        </is>
      </c>
      <c r="G5779" t="n">
        <v>3.7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s="2" t="inlineStr"/>
    </row>
    <row r="5780" ht="15" customHeight="1">
      <c r="A5780" t="inlineStr">
        <is>
          <t>A 44298-2023</t>
        </is>
      </c>
      <c r="B5780" s="1" t="n">
        <v>45187</v>
      </c>
      <c r="C5780" s="1" t="n">
        <v>45211</v>
      </c>
      <c r="D5780" t="inlineStr">
        <is>
          <t>ÖSTERGÖTLANDS LÄN</t>
        </is>
      </c>
      <c r="E5780" t="inlineStr">
        <is>
          <t>MOTALA</t>
        </is>
      </c>
      <c r="G5780" t="n">
        <v>2.5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s="2" t="inlineStr"/>
    </row>
    <row r="5781" ht="15" customHeight="1">
      <c r="A5781" t="inlineStr">
        <is>
          <t>A 44640-2023</t>
        </is>
      </c>
      <c r="B5781" s="1" t="n">
        <v>45189</v>
      </c>
      <c r="C5781" s="1" t="n">
        <v>45211</v>
      </c>
      <c r="D5781" t="inlineStr">
        <is>
          <t>ÖSTERGÖTLANDS LÄN</t>
        </is>
      </c>
      <c r="E5781" t="inlineStr">
        <is>
          <t>VALDEMARSVIK</t>
        </is>
      </c>
      <c r="G5781" t="n">
        <v>4.6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s="2" t="inlineStr"/>
    </row>
    <row r="5782" ht="15" customHeight="1">
      <c r="A5782" t="inlineStr">
        <is>
          <t>A 44819-2023</t>
        </is>
      </c>
      <c r="B5782" s="1" t="n">
        <v>45190</v>
      </c>
      <c r="C5782" s="1" t="n">
        <v>45211</v>
      </c>
      <c r="D5782" t="inlineStr">
        <is>
          <t>ÖSTERGÖTLANDS LÄN</t>
        </is>
      </c>
      <c r="E5782" t="inlineStr">
        <is>
          <t>SÖDERKÖPING</t>
        </is>
      </c>
      <c r="G5782" t="n">
        <v>0.5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s="2" t="inlineStr"/>
    </row>
    <row r="5783" ht="15" customHeight="1">
      <c r="A5783" t="inlineStr">
        <is>
          <t>A 45044-2023</t>
        </is>
      </c>
      <c r="B5783" s="1" t="n">
        <v>45191</v>
      </c>
      <c r="C5783" s="1" t="n">
        <v>45211</v>
      </c>
      <c r="D5783" t="inlineStr">
        <is>
          <t>ÖSTERGÖTLANDS LÄN</t>
        </is>
      </c>
      <c r="E5783" t="inlineStr">
        <is>
          <t>SÖDERKÖPING</t>
        </is>
      </c>
      <c r="G5783" t="n">
        <v>0.5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s="2" t="inlineStr"/>
    </row>
    <row r="5784" ht="15" customHeight="1">
      <c r="A5784" t="inlineStr">
        <is>
          <t>A 45085-2023</t>
        </is>
      </c>
      <c r="B5784" s="1" t="n">
        <v>45191</v>
      </c>
      <c r="C5784" s="1" t="n">
        <v>45211</v>
      </c>
      <c r="D5784" t="inlineStr">
        <is>
          <t>ÖSTERGÖTLANDS LÄN</t>
        </is>
      </c>
      <c r="E5784" t="inlineStr">
        <is>
          <t>SÖDERKÖPING</t>
        </is>
      </c>
      <c r="G5784" t="n">
        <v>0.9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s="2" t="inlineStr"/>
    </row>
    <row r="5785" ht="15" customHeight="1">
      <c r="A5785" t="inlineStr">
        <is>
          <t>A 45700-2023</t>
        </is>
      </c>
      <c r="B5785" s="1" t="n">
        <v>45195</v>
      </c>
      <c r="C5785" s="1" t="n">
        <v>45211</v>
      </c>
      <c r="D5785" t="inlineStr">
        <is>
          <t>ÖSTERGÖTLANDS LÄN</t>
        </is>
      </c>
      <c r="E5785" t="inlineStr">
        <is>
          <t>ÅTVIDABERG</t>
        </is>
      </c>
      <c r="G5785" t="n">
        <v>2.6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s="2" t="inlineStr"/>
    </row>
    <row r="5786" ht="15" customHeight="1">
      <c r="A5786" t="inlineStr">
        <is>
          <t>A 45783-2023</t>
        </is>
      </c>
      <c r="B5786" s="1" t="n">
        <v>45195</v>
      </c>
      <c r="C5786" s="1" t="n">
        <v>45211</v>
      </c>
      <c r="D5786" t="inlineStr">
        <is>
          <t>ÖSTERGÖTLANDS LÄN</t>
        </is>
      </c>
      <c r="E5786" t="inlineStr">
        <is>
          <t>VALDEMARSVIK</t>
        </is>
      </c>
      <c r="G5786" t="n">
        <v>1.8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s="2" t="inlineStr"/>
    </row>
    <row r="5787" ht="15" customHeight="1">
      <c r="A5787" t="inlineStr">
        <is>
          <t>A 45675-2023</t>
        </is>
      </c>
      <c r="B5787" s="1" t="n">
        <v>45195</v>
      </c>
      <c r="C5787" s="1" t="n">
        <v>45211</v>
      </c>
      <c r="D5787" t="inlineStr">
        <is>
          <t>ÖSTERGÖTLANDS LÄN</t>
        </is>
      </c>
      <c r="E5787" t="inlineStr">
        <is>
          <t>KINDA</t>
        </is>
      </c>
      <c r="G5787" t="n">
        <v>4.3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s="2" t="inlineStr"/>
    </row>
    <row r="5788" ht="15" customHeight="1">
      <c r="A5788" t="inlineStr">
        <is>
          <t>A 45826-2023</t>
        </is>
      </c>
      <c r="B5788" s="1" t="n">
        <v>45195</v>
      </c>
      <c r="C5788" s="1" t="n">
        <v>45211</v>
      </c>
      <c r="D5788" t="inlineStr">
        <is>
          <t>ÖSTERGÖTLANDS LÄN</t>
        </is>
      </c>
      <c r="E5788" t="inlineStr">
        <is>
          <t>LINKÖPING</t>
        </is>
      </c>
      <c r="F5788" t="inlineStr">
        <is>
          <t>Övriga Aktiebolag</t>
        </is>
      </c>
      <c r="G5788" t="n">
        <v>2.3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s="2" t="inlineStr"/>
    </row>
    <row r="5789" ht="15" customHeight="1">
      <c r="A5789" t="inlineStr">
        <is>
          <t>A 46222-2023</t>
        </is>
      </c>
      <c r="B5789" s="1" t="n">
        <v>45196</v>
      </c>
      <c r="C5789" s="1" t="n">
        <v>45211</v>
      </c>
      <c r="D5789" t="inlineStr">
        <is>
          <t>ÖSTERGÖTLANDS LÄN</t>
        </is>
      </c>
      <c r="E5789" t="inlineStr">
        <is>
          <t>LINKÖPING</t>
        </is>
      </c>
      <c r="F5789" t="inlineStr">
        <is>
          <t>Övriga Aktiebolag</t>
        </is>
      </c>
      <c r="G5789" t="n">
        <v>1.2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s="2" t="inlineStr"/>
    </row>
    <row r="5790" ht="15" customHeight="1">
      <c r="A5790" t="inlineStr">
        <is>
          <t>A 46239-2023</t>
        </is>
      </c>
      <c r="B5790" s="1" t="n">
        <v>45196</v>
      </c>
      <c r="C5790" s="1" t="n">
        <v>45211</v>
      </c>
      <c r="D5790" t="inlineStr">
        <is>
          <t>ÖSTERGÖTLANDS LÄN</t>
        </is>
      </c>
      <c r="E5790" t="inlineStr">
        <is>
          <t>LINKÖPING</t>
        </is>
      </c>
      <c r="F5790" t="inlineStr">
        <is>
          <t>Övriga Aktiebolag</t>
        </is>
      </c>
      <c r="G5790" t="n">
        <v>2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s="2" t="inlineStr"/>
    </row>
    <row r="5791" ht="15" customHeight="1">
      <c r="A5791" t="inlineStr">
        <is>
          <t>A 46014-2023</t>
        </is>
      </c>
      <c r="B5791" s="1" t="n">
        <v>45196</v>
      </c>
      <c r="C5791" s="1" t="n">
        <v>45211</v>
      </c>
      <c r="D5791" t="inlineStr">
        <is>
          <t>ÖSTERGÖTLANDS LÄN</t>
        </is>
      </c>
      <c r="E5791" t="inlineStr">
        <is>
          <t>NORRKÖPING</t>
        </is>
      </c>
      <c r="F5791" t="inlineStr">
        <is>
          <t>Holmen skog AB</t>
        </is>
      </c>
      <c r="G5791" t="n">
        <v>6.2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s="2" t="inlineStr"/>
    </row>
    <row r="5792" ht="15" customHeight="1">
      <c r="A5792" t="inlineStr">
        <is>
          <t>A 46316-2023</t>
        </is>
      </c>
      <c r="B5792" s="1" t="n">
        <v>45197</v>
      </c>
      <c r="C5792" s="1" t="n">
        <v>45211</v>
      </c>
      <c r="D5792" t="inlineStr">
        <is>
          <t>ÖSTERGÖTLANDS LÄN</t>
        </is>
      </c>
      <c r="E5792" t="inlineStr">
        <is>
          <t>BOXHOLM</t>
        </is>
      </c>
      <c r="G5792" t="n">
        <v>2.3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s="2" t="inlineStr"/>
    </row>
    <row r="5793" ht="15" customHeight="1">
      <c r="A5793" t="inlineStr">
        <is>
          <t>A 46314-2023</t>
        </is>
      </c>
      <c r="B5793" s="1" t="n">
        <v>45197</v>
      </c>
      <c r="C5793" s="1" t="n">
        <v>45211</v>
      </c>
      <c r="D5793" t="inlineStr">
        <is>
          <t>ÖSTERGÖTLANDS LÄN</t>
        </is>
      </c>
      <c r="E5793" t="inlineStr">
        <is>
          <t>KINDA</t>
        </is>
      </c>
      <c r="G5793" t="n">
        <v>1.2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s="2" t="inlineStr"/>
    </row>
    <row r="5794" ht="15" customHeight="1">
      <c r="A5794" t="inlineStr">
        <is>
          <t>A 46437-2023</t>
        </is>
      </c>
      <c r="B5794" s="1" t="n">
        <v>45197</v>
      </c>
      <c r="C5794" s="1" t="n">
        <v>45211</v>
      </c>
      <c r="D5794" t="inlineStr">
        <is>
          <t>ÖSTERGÖTLANDS LÄN</t>
        </is>
      </c>
      <c r="E5794" t="inlineStr">
        <is>
          <t>MOTALA</t>
        </is>
      </c>
      <c r="F5794" t="inlineStr">
        <is>
          <t>Holmen skog AB</t>
        </is>
      </c>
      <c r="G5794" t="n">
        <v>0.8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s="2" t="inlineStr"/>
    </row>
    <row r="5795" ht="15" customHeight="1">
      <c r="A5795" t="inlineStr">
        <is>
          <t>A 46583-2023</t>
        </is>
      </c>
      <c r="B5795" s="1" t="n">
        <v>45198</v>
      </c>
      <c r="C5795" s="1" t="n">
        <v>45211</v>
      </c>
      <c r="D5795" t="inlineStr">
        <is>
          <t>ÖSTERGÖTLANDS LÄN</t>
        </is>
      </c>
      <c r="E5795" t="inlineStr">
        <is>
          <t>YDRE</t>
        </is>
      </c>
      <c r="G5795" t="n">
        <v>10.9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s="2" t="inlineStr"/>
    </row>
    <row r="5796" ht="15" customHeight="1">
      <c r="A5796" t="inlineStr">
        <is>
          <t>A 46578-2023</t>
        </is>
      </c>
      <c r="B5796" s="1" t="n">
        <v>45198</v>
      </c>
      <c r="C5796" s="1" t="n">
        <v>45211</v>
      </c>
      <c r="D5796" t="inlineStr">
        <is>
          <t>ÖSTERGÖTLANDS LÄN</t>
        </is>
      </c>
      <c r="E5796" t="inlineStr">
        <is>
          <t>YDRE</t>
        </is>
      </c>
      <c r="G5796" t="n">
        <v>1.9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s="2" t="inlineStr"/>
    </row>
    <row r="5797" ht="15" customHeight="1">
      <c r="A5797" t="inlineStr">
        <is>
          <t>A 47215-2023</t>
        </is>
      </c>
      <c r="B5797" s="1" t="n">
        <v>45202</v>
      </c>
      <c r="C5797" s="1" t="n">
        <v>45211</v>
      </c>
      <c r="D5797" t="inlineStr">
        <is>
          <t>ÖSTERGÖTLANDS LÄN</t>
        </is>
      </c>
      <c r="E5797" t="inlineStr">
        <is>
          <t>MOTALA</t>
        </is>
      </c>
      <c r="G5797" t="n">
        <v>5.7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s="2" t="inlineStr"/>
    </row>
    <row r="5798" ht="15" customHeight="1">
      <c r="A5798" t="inlineStr">
        <is>
          <t>A 47364-2023</t>
        </is>
      </c>
      <c r="B5798" s="1" t="n">
        <v>45202</v>
      </c>
      <c r="C5798" s="1" t="n">
        <v>45211</v>
      </c>
      <c r="D5798" t="inlineStr">
        <is>
          <t>ÖSTERGÖTLANDS LÄN</t>
        </is>
      </c>
      <c r="E5798" t="inlineStr">
        <is>
          <t>FINSPÅNG</t>
        </is>
      </c>
      <c r="F5798" t="inlineStr">
        <is>
          <t>Holmen skog AB</t>
        </is>
      </c>
      <c r="G5798" t="n">
        <v>0.9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s="2" t="inlineStr"/>
    </row>
    <row r="5799" ht="15" customHeight="1">
      <c r="A5799" t="inlineStr">
        <is>
          <t>A 47360-2023</t>
        </is>
      </c>
      <c r="B5799" s="1" t="n">
        <v>45202</v>
      </c>
      <c r="C5799" s="1" t="n">
        <v>45211</v>
      </c>
      <c r="D5799" t="inlineStr">
        <is>
          <t>ÖSTERGÖTLANDS LÄN</t>
        </is>
      </c>
      <c r="E5799" t="inlineStr">
        <is>
          <t>FINSPÅNG</t>
        </is>
      </c>
      <c r="F5799" t="inlineStr">
        <is>
          <t>Holmen skog AB</t>
        </is>
      </c>
      <c r="G5799" t="n">
        <v>2.9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s="2" t="inlineStr"/>
    </row>
    <row r="5800" ht="15" customHeight="1">
      <c r="A5800" t="inlineStr">
        <is>
          <t>A 47224-2023</t>
        </is>
      </c>
      <c r="B5800" s="1" t="n">
        <v>45202</v>
      </c>
      <c r="C5800" s="1" t="n">
        <v>45211</v>
      </c>
      <c r="D5800" t="inlineStr">
        <is>
          <t>ÖSTERGÖTLANDS LÄN</t>
        </is>
      </c>
      <c r="E5800" t="inlineStr">
        <is>
          <t>FINSPÅNG</t>
        </is>
      </c>
      <c r="G5800" t="n">
        <v>1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s="2" t="inlineStr"/>
    </row>
    <row r="5801" ht="15" customHeight="1">
      <c r="A5801" t="inlineStr">
        <is>
          <t>A 47769-2023</t>
        </is>
      </c>
      <c r="B5801" s="1" t="n">
        <v>45203</v>
      </c>
      <c r="C5801" s="1" t="n">
        <v>45211</v>
      </c>
      <c r="D5801" t="inlineStr">
        <is>
          <t>ÖSTERGÖTLANDS LÄN</t>
        </is>
      </c>
      <c r="E5801" t="inlineStr">
        <is>
          <t>NORRKÖPING</t>
        </is>
      </c>
      <c r="G5801" t="n">
        <v>0.7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s="2" t="inlineStr"/>
    </row>
    <row r="5802" ht="15" customHeight="1">
      <c r="A5802" t="inlineStr">
        <is>
          <t>A 47556-2023</t>
        </is>
      </c>
      <c r="B5802" s="1" t="n">
        <v>45203</v>
      </c>
      <c r="C5802" s="1" t="n">
        <v>45211</v>
      </c>
      <c r="D5802" t="inlineStr">
        <is>
          <t>ÖSTERGÖTLANDS LÄN</t>
        </is>
      </c>
      <c r="E5802" t="inlineStr">
        <is>
          <t>LINKÖPING</t>
        </is>
      </c>
      <c r="G5802" t="n">
        <v>2.9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s="2" t="inlineStr"/>
    </row>
    <row r="5803" ht="15" customHeight="1">
      <c r="A5803" t="inlineStr">
        <is>
          <t>A 47978-2023</t>
        </is>
      </c>
      <c r="B5803" s="1" t="n">
        <v>45204</v>
      </c>
      <c r="C5803" s="1" t="n">
        <v>45211</v>
      </c>
      <c r="D5803" t="inlineStr">
        <is>
          <t>ÖSTERGÖTLANDS LÄN</t>
        </is>
      </c>
      <c r="E5803" t="inlineStr">
        <is>
          <t>BOXHOLM</t>
        </is>
      </c>
      <c r="G5803" t="n">
        <v>1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s="2" t="inlineStr"/>
    </row>
    <row r="5804" ht="15" customHeight="1">
      <c r="A5804" t="inlineStr">
        <is>
          <t>A 47856-2023</t>
        </is>
      </c>
      <c r="B5804" s="1" t="n">
        <v>45204</v>
      </c>
      <c r="C5804" s="1" t="n">
        <v>45211</v>
      </c>
      <c r="D5804" t="inlineStr">
        <is>
          <t>ÖSTERGÖTLANDS LÄN</t>
        </is>
      </c>
      <c r="E5804" t="inlineStr">
        <is>
          <t>LINKÖPING</t>
        </is>
      </c>
      <c r="G5804" t="n">
        <v>1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s="2" t="inlineStr"/>
    </row>
    <row r="5805" ht="15" customHeight="1">
      <c r="A5805" t="inlineStr">
        <is>
          <t>A 47867-2023</t>
        </is>
      </c>
      <c r="B5805" s="1" t="n">
        <v>45204</v>
      </c>
      <c r="C5805" s="1" t="n">
        <v>45211</v>
      </c>
      <c r="D5805" t="inlineStr">
        <is>
          <t>ÖSTERGÖTLANDS LÄN</t>
        </is>
      </c>
      <c r="E5805" t="inlineStr">
        <is>
          <t>FINSPÅNG</t>
        </is>
      </c>
      <c r="F5805" t="inlineStr">
        <is>
          <t>Holmen skog AB</t>
        </is>
      </c>
      <c r="G5805" t="n">
        <v>3.2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s="2" t="inlineStr"/>
    </row>
    <row r="5806" ht="15" customHeight="1">
      <c r="A5806" t="inlineStr">
        <is>
          <t>A 48119-2023</t>
        </is>
      </c>
      <c r="B5806" s="1" t="n">
        <v>45205</v>
      </c>
      <c r="C5806" s="1" t="n">
        <v>45211</v>
      </c>
      <c r="D5806" t="inlineStr">
        <is>
          <t>ÖSTERGÖTLANDS LÄN</t>
        </is>
      </c>
      <c r="E5806" t="inlineStr">
        <is>
          <t>NORRKÖPING</t>
        </is>
      </c>
      <c r="G5806" t="n">
        <v>4.1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s="2" t="inlineStr"/>
    </row>
    <row r="5807" ht="15" customHeight="1">
      <c r="A5807" t="inlineStr">
        <is>
          <t>A 48107-2023</t>
        </is>
      </c>
      <c r="B5807" s="1" t="n">
        <v>45205</v>
      </c>
      <c r="C5807" s="1" t="n">
        <v>45211</v>
      </c>
      <c r="D5807" t="inlineStr">
        <is>
          <t>ÖSTERGÖTLANDS LÄN</t>
        </is>
      </c>
      <c r="E5807" t="inlineStr">
        <is>
          <t>ÖDESHÖG</t>
        </is>
      </c>
      <c r="G5807" t="n">
        <v>2.4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s="2" t="inlineStr"/>
    </row>
    <row r="5808" ht="15" customHeight="1">
      <c r="A5808" t="inlineStr">
        <is>
          <t>A 48874-2023</t>
        </is>
      </c>
      <c r="B5808" s="1" t="n">
        <v>45209</v>
      </c>
      <c r="C5808" s="1" t="n">
        <v>45211</v>
      </c>
      <c r="D5808" t="inlineStr">
        <is>
          <t>ÖSTERGÖTLANDS LÄN</t>
        </is>
      </c>
      <c r="E5808" t="inlineStr">
        <is>
          <t>LINKÖPING</t>
        </is>
      </c>
      <c r="G5808" t="n">
        <v>1.7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s="2" t="inlineStr"/>
    </row>
    <row r="5809" ht="15" customHeight="1">
      <c r="A5809" t="inlineStr">
        <is>
          <t>A 49050-2023</t>
        </is>
      </c>
      <c r="B5809" s="1" t="n">
        <v>45210</v>
      </c>
      <c r="C5809" s="1" t="n">
        <v>45211</v>
      </c>
      <c r="D5809" t="inlineStr">
        <is>
          <t>ÖSTERGÖTLANDS LÄN</t>
        </is>
      </c>
      <c r="E5809" t="inlineStr">
        <is>
          <t>BOXHOLM</t>
        </is>
      </c>
      <c r="G5809" t="n">
        <v>1.3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s="2" t="inlineStr"/>
    </row>
    <row r="5810">
      <c r="A5810" t="inlineStr">
        <is>
          <t>A 49191-2023</t>
        </is>
      </c>
      <c r="B5810" s="1" t="n">
        <v>45210</v>
      </c>
      <c r="C5810" s="1" t="n">
        <v>45211</v>
      </c>
      <c r="D5810" t="inlineStr">
        <is>
          <t>ÖSTERGÖTLANDS LÄN</t>
        </is>
      </c>
      <c r="E5810" t="inlineStr">
        <is>
          <t>NORRKÖPING</t>
        </is>
      </c>
      <c r="F5810" t="inlineStr">
        <is>
          <t>Allmännings- och besparingsskogar</t>
        </is>
      </c>
      <c r="G5810" t="n">
        <v>3.1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2023-10-12T05:08:42Z</dcterms:created>
  <dcterms:modified xmlns:dcterms="http://purl.org/dc/terms/" xmlns:xsi="http://www.w3.org/2001/XMLSchema-instance" xsi:type="dcterms:W3CDTF">2023-10-12T05:08:46Z</dcterms:modified>
</cp:coreProperties>
</file>