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45192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45192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40360-2018.xlsx", "A 40360-2018")</f>
        <v/>
      </c>
      <c r="T3">
        <f>HYPERLINK("https://klasma.github.io/Logging_KINDA/kartor/A 40360-2018.png", "A 40360-2018")</f>
        <v/>
      </c>
      <c r="U3">
        <f>HYPERLINK("https://klasma.github.io/Logging_KINDA/knärot/A 40360-2018.png", "A 40360-2018")</f>
        <v/>
      </c>
      <c r="V3">
        <f>HYPERLINK("https://klasma.github.io/Logging_KINDA/klagomål/A 40360-2018.docx", "A 40360-2018")</f>
        <v/>
      </c>
      <c r="W3">
        <f>HYPERLINK("https://klasma.github.io/Logging_KINDA/klagomålsmail/A 40360-2018.docx", "A 40360-2018")</f>
        <v/>
      </c>
      <c r="X3">
        <f>HYPERLINK("https://klasma.github.io/Logging_KINDA/tillsyn/A 40360-2018.docx", "A 40360-2018")</f>
        <v/>
      </c>
      <c r="Y3">
        <f>HYPERLINK("https://klasma.github.io/Logging_KINDA/tillsynsmail/A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45192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41451-2022.xlsx", "A 41451-2022")</f>
        <v/>
      </c>
      <c r="T4">
        <f>HYPERLINK("https://klasma.github.io/Logging_KINDA/kartor/A 41451-2022.png", "A 41451-2022")</f>
        <v/>
      </c>
      <c r="V4">
        <f>HYPERLINK("https://klasma.github.io/Logging_KINDA/klagomål/A 41451-2022.docx", "A 41451-2022")</f>
        <v/>
      </c>
      <c r="W4">
        <f>HYPERLINK("https://klasma.github.io/Logging_KINDA/klagomålsmail/A 41451-2022.docx", "A 41451-2022")</f>
        <v/>
      </c>
      <c r="X4">
        <f>HYPERLINK("https://klasma.github.io/Logging_KINDA/tillsyn/A 41451-2022.docx", "A 41451-2022")</f>
        <v/>
      </c>
      <c r="Y4">
        <f>HYPERLINK("https://klasma.github.io/Logging_KINDA/tillsynsmail/A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45192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17515-2022.xlsx", "A 17515-2022")</f>
        <v/>
      </c>
      <c r="T5">
        <f>HYPERLINK("https://klasma.github.io/Logging_LINKOPING/kartor/A 17515-2022.png", "A 17515-2022")</f>
        <v/>
      </c>
      <c r="V5">
        <f>HYPERLINK("https://klasma.github.io/Logging_LINKOPING/klagomål/A 17515-2022.docx", "A 17515-2022")</f>
        <v/>
      </c>
      <c r="W5">
        <f>HYPERLINK("https://klasma.github.io/Logging_LINKOPING/klagomålsmail/A 17515-2022.docx", "A 17515-2022")</f>
        <v/>
      </c>
      <c r="X5">
        <f>HYPERLINK("https://klasma.github.io/Logging_LINKOPING/tillsyn/A 17515-2022.docx", "A 17515-2022")</f>
        <v/>
      </c>
      <c r="Y5">
        <f>HYPERLINK("https://klasma.github.io/Logging_LINKOPING/tillsynsmail/A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45192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51780-2022.xlsx", "A 51780-2022")</f>
        <v/>
      </c>
      <c r="T6">
        <f>HYPERLINK("https://klasma.github.io/Logging_KINDA/kartor/A 51780-2022.png", "A 51780-2022")</f>
        <v/>
      </c>
      <c r="U6">
        <f>HYPERLINK("https://klasma.github.io/Logging_KINDA/knärot/A 51780-2022.png", "A 51780-2022")</f>
        <v/>
      </c>
      <c r="V6">
        <f>HYPERLINK("https://klasma.github.io/Logging_KINDA/klagomål/A 51780-2022.docx", "A 51780-2022")</f>
        <v/>
      </c>
      <c r="W6">
        <f>HYPERLINK("https://klasma.github.io/Logging_KINDA/klagomålsmail/A 51780-2022.docx", "A 51780-2022")</f>
        <v/>
      </c>
      <c r="X6">
        <f>HYPERLINK("https://klasma.github.io/Logging_KINDA/tillsyn/A 51780-2022.docx", "A 51780-2022")</f>
        <v/>
      </c>
      <c r="Y6">
        <f>HYPERLINK("https://klasma.github.io/Logging_KINDA/tillsynsmail/A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45192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57460-2022.xlsx", "A 57460-2022")</f>
        <v/>
      </c>
      <c r="T7">
        <f>HYPERLINK("https://klasma.github.io/Logging_FINSPANG/kartor/A 57460-2022.png", "A 57460-2022")</f>
        <v/>
      </c>
      <c r="V7">
        <f>HYPERLINK("https://klasma.github.io/Logging_FINSPANG/klagomål/A 57460-2022.docx", "A 57460-2022")</f>
        <v/>
      </c>
      <c r="W7">
        <f>HYPERLINK("https://klasma.github.io/Logging_FINSPANG/klagomålsmail/A 57460-2022.docx", "A 57460-2022")</f>
        <v/>
      </c>
      <c r="X7">
        <f>HYPERLINK("https://klasma.github.io/Logging_FINSPANG/tillsyn/A 57460-2022.docx", "A 57460-2022")</f>
        <v/>
      </c>
      <c r="Y7">
        <f>HYPERLINK("https://klasma.github.io/Logging_FINSPANG/tillsynsmail/A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45192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57525-2022.xlsx", "A 57525-2022")</f>
        <v/>
      </c>
      <c r="T8">
        <f>HYPERLINK("https://klasma.github.io/Logging_NORRKOPING/kartor/A 57525-2022.png", "A 57525-2022")</f>
        <v/>
      </c>
      <c r="V8">
        <f>HYPERLINK("https://klasma.github.io/Logging_NORRKOPING/klagomål/A 57525-2022.docx", "A 57525-2022")</f>
        <v/>
      </c>
      <c r="W8">
        <f>HYPERLINK("https://klasma.github.io/Logging_NORRKOPING/klagomålsmail/A 57525-2022.docx", "A 57525-2022")</f>
        <v/>
      </c>
      <c r="X8">
        <f>HYPERLINK("https://klasma.github.io/Logging_NORRKOPING/tillsyn/A 57525-2022.docx", "A 57525-2022")</f>
        <v/>
      </c>
      <c r="Y8">
        <f>HYPERLINK("https://klasma.github.io/Logging_NORRKOPING/tillsynsmail/A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45192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5338-2023.xlsx", "A 5338-2023")</f>
        <v/>
      </c>
      <c r="T9">
        <f>HYPERLINK("https://klasma.github.io/Logging_NORRKOPING/kartor/A 5338-2023.png", "A 5338-2023")</f>
        <v/>
      </c>
      <c r="U9">
        <f>HYPERLINK("https://klasma.github.io/Logging_NORRKOPING/knärot/A 5338-2023.png", "A 5338-2023")</f>
        <v/>
      </c>
      <c r="V9">
        <f>HYPERLINK("https://klasma.github.io/Logging_NORRKOPING/klagomål/A 5338-2023.docx", "A 5338-2023")</f>
        <v/>
      </c>
      <c r="W9">
        <f>HYPERLINK("https://klasma.github.io/Logging_NORRKOPING/klagomålsmail/A 5338-2023.docx", "A 5338-2023")</f>
        <v/>
      </c>
      <c r="X9">
        <f>HYPERLINK("https://klasma.github.io/Logging_NORRKOPING/tillsyn/A 5338-2023.docx", "A 5338-2023")</f>
        <v/>
      </c>
      <c r="Y9">
        <f>HYPERLINK("https://klasma.github.io/Logging_NORRKOPING/tillsynsmail/A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45192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39339-2018.xlsx", "A 39339-2018")</f>
        <v/>
      </c>
      <c r="T10">
        <f>HYPERLINK("https://klasma.github.io/Logging_ATVIDABERG/kartor/A 39339-2018.png", "A 39339-2018")</f>
        <v/>
      </c>
      <c r="V10">
        <f>HYPERLINK("https://klasma.github.io/Logging_ATVIDABERG/klagomål/A 39339-2018.docx", "A 39339-2018")</f>
        <v/>
      </c>
      <c r="W10">
        <f>HYPERLINK("https://klasma.github.io/Logging_ATVIDABERG/klagomålsmail/A 39339-2018.docx", "A 39339-2018")</f>
        <v/>
      </c>
      <c r="X10">
        <f>HYPERLINK("https://klasma.github.io/Logging_ATVIDABERG/tillsyn/A 39339-2018.docx", "A 39339-2018")</f>
        <v/>
      </c>
      <c r="Y10">
        <f>HYPERLINK("https://klasma.github.io/Logging_ATVIDABERG/tillsynsmail/A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45192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11516-2021.xlsx", "A 11516-2021")</f>
        <v/>
      </c>
      <c r="T11">
        <f>HYPERLINK("https://klasma.github.io/Logging_NORRKOPING/kartor/A 11516-2021.png", "A 11516-2021")</f>
        <v/>
      </c>
      <c r="U11">
        <f>HYPERLINK("https://klasma.github.io/Logging_NORRKOPING/knärot/A 11516-2021.png", "A 11516-2021")</f>
        <v/>
      </c>
      <c r="V11">
        <f>HYPERLINK("https://klasma.github.io/Logging_NORRKOPING/klagomål/A 11516-2021.docx", "A 11516-2021")</f>
        <v/>
      </c>
      <c r="W11">
        <f>HYPERLINK("https://klasma.github.io/Logging_NORRKOPING/klagomålsmail/A 11516-2021.docx", "A 11516-2021")</f>
        <v/>
      </c>
      <c r="X11">
        <f>HYPERLINK("https://klasma.github.io/Logging_NORRKOPING/tillsyn/A 11516-2021.docx", "A 11516-2021")</f>
        <v/>
      </c>
      <c r="Y11">
        <f>HYPERLINK("https://klasma.github.io/Logging_NORRKOPING/tillsynsmail/A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45192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17417-2021.xlsx", "A 17417-2021")</f>
        <v/>
      </c>
      <c r="T12">
        <f>HYPERLINK("https://klasma.github.io/Logging_NORRKOPING/kartor/A 17417-2021.png", "A 17417-2021")</f>
        <v/>
      </c>
      <c r="U12">
        <f>HYPERLINK("https://klasma.github.io/Logging_NORRKOPING/knärot/A 17417-2021.png", "A 17417-2021")</f>
        <v/>
      </c>
      <c r="V12">
        <f>HYPERLINK("https://klasma.github.io/Logging_NORRKOPING/klagomål/A 17417-2021.docx", "A 17417-2021")</f>
        <v/>
      </c>
      <c r="W12">
        <f>HYPERLINK("https://klasma.github.io/Logging_NORRKOPING/klagomålsmail/A 17417-2021.docx", "A 17417-2021")</f>
        <v/>
      </c>
      <c r="X12">
        <f>HYPERLINK("https://klasma.github.io/Logging_NORRKOPING/tillsyn/A 17417-2021.docx", "A 17417-2021")</f>
        <v/>
      </c>
      <c r="Y12">
        <f>HYPERLINK("https://klasma.github.io/Logging_NORRKOPING/tillsynsmail/A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45192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50388-2022.xlsx", "A 50388-2022")</f>
        <v/>
      </c>
      <c r="T13">
        <f>HYPERLINK("https://klasma.github.io/Logging_SODERKOPING/kartor/A 50388-2022.png", "A 50388-2022")</f>
        <v/>
      </c>
      <c r="U13">
        <f>HYPERLINK("https://klasma.github.io/Logging_SODERKOPING/knärot/A 50388-2022.png", "A 50388-2022")</f>
        <v/>
      </c>
      <c r="V13">
        <f>HYPERLINK("https://klasma.github.io/Logging_SODERKOPING/klagomål/A 50388-2022.docx", "A 50388-2022")</f>
        <v/>
      </c>
      <c r="W13">
        <f>HYPERLINK("https://klasma.github.io/Logging_SODERKOPING/klagomålsmail/A 50388-2022.docx", "A 50388-2022")</f>
        <v/>
      </c>
      <c r="X13">
        <f>HYPERLINK("https://klasma.github.io/Logging_SODERKOPING/tillsyn/A 50388-2022.docx", "A 50388-2022")</f>
        <v/>
      </c>
      <c r="Y13">
        <f>HYPERLINK("https://klasma.github.io/Logging_SODERKOPING/tillsynsmail/A 50388-2022.docx", "A 50388-2022")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45192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26258-2020.xlsx", "A 26258-2020")</f>
        <v/>
      </c>
      <c r="T14">
        <f>HYPERLINK("https://klasma.github.io/Logging_BOXHOLM/kartor/A 26258-2020.png", "A 26258-2020")</f>
        <v/>
      </c>
      <c r="V14">
        <f>HYPERLINK("https://klasma.github.io/Logging_BOXHOLM/klagomål/A 26258-2020.docx", "A 26258-2020")</f>
        <v/>
      </c>
      <c r="W14">
        <f>HYPERLINK("https://klasma.github.io/Logging_BOXHOLM/klagomålsmail/A 26258-2020.docx", "A 26258-2020")</f>
        <v/>
      </c>
      <c r="X14">
        <f>HYPERLINK("https://klasma.github.io/Logging_BOXHOLM/tillsyn/A 26258-2020.docx", "A 26258-2020")</f>
        <v/>
      </c>
      <c r="Y14">
        <f>HYPERLINK("https://klasma.github.io/Logging_BOXHOLM/tillsynsmail/A 26258-2020.docx", "A 26258-2020")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45192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27710-2020.xlsx", "A 27710-2020")</f>
        <v/>
      </c>
      <c r="T15">
        <f>HYPERLINK("https://klasma.github.io/Logging_BOXHOLM/kartor/A 27710-2020.png", "A 27710-2020")</f>
        <v/>
      </c>
      <c r="U15">
        <f>HYPERLINK("https://klasma.github.io/Logging_BOXHOLM/knärot/A 27710-2020.png", "A 27710-2020")</f>
        <v/>
      </c>
      <c r="V15">
        <f>HYPERLINK("https://klasma.github.io/Logging_BOXHOLM/klagomål/A 27710-2020.docx", "A 27710-2020")</f>
        <v/>
      </c>
      <c r="W15">
        <f>HYPERLINK("https://klasma.github.io/Logging_BOXHOLM/klagomålsmail/A 27710-2020.docx", "A 27710-2020")</f>
        <v/>
      </c>
      <c r="X15">
        <f>HYPERLINK("https://klasma.github.io/Logging_BOXHOLM/tillsyn/A 27710-2020.docx", "A 27710-2020")</f>
        <v/>
      </c>
      <c r="Y15">
        <f>HYPERLINK("https://klasma.github.io/Logging_BOXHOLM/tillsynsmail/A 27710-2020.docx", "A 27710-2020")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45192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47407-2020.xlsx", "A 47407-2020")</f>
        <v/>
      </c>
      <c r="T16">
        <f>HYPERLINK("https://klasma.github.io/Logging_VALDEMARSVIK/kartor/A 47407-2020.png", "A 47407-2020")</f>
        <v/>
      </c>
      <c r="U16">
        <f>HYPERLINK("https://klasma.github.io/Logging_VALDEMARSVIK/knärot/A 47407-2020.png", "A 47407-2020")</f>
        <v/>
      </c>
      <c r="V16">
        <f>HYPERLINK("https://klasma.github.io/Logging_VALDEMARSVIK/klagomål/A 47407-2020.docx", "A 47407-2020")</f>
        <v/>
      </c>
      <c r="W16">
        <f>HYPERLINK("https://klasma.github.io/Logging_VALDEMARSVIK/klagomålsmail/A 47407-2020.docx", "A 47407-2020")</f>
        <v/>
      </c>
      <c r="X16">
        <f>HYPERLINK("https://klasma.github.io/Logging_VALDEMARSVIK/tillsyn/A 47407-2020.docx", "A 47407-2020")</f>
        <v/>
      </c>
      <c r="Y16">
        <f>HYPERLINK("https://klasma.github.io/Logging_VALDEMARSVIK/tillsynsmail/A 47407-2020.docx", "A 47407-2020")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45192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2054-2022.xlsx", "A 2054-2022")</f>
        <v/>
      </c>
      <c r="T17">
        <f>HYPERLINK("https://klasma.github.io/Logging_KINDA/kartor/A 2054-2022.png", "A 2054-2022")</f>
        <v/>
      </c>
      <c r="U17">
        <f>HYPERLINK("https://klasma.github.io/Logging_KINDA/knärot/A 2054-2022.png", "A 2054-2022")</f>
        <v/>
      </c>
      <c r="V17">
        <f>HYPERLINK("https://klasma.github.io/Logging_KINDA/klagomål/A 2054-2022.docx", "A 2054-2022")</f>
        <v/>
      </c>
      <c r="W17">
        <f>HYPERLINK("https://klasma.github.io/Logging_KINDA/klagomålsmail/A 2054-2022.docx", "A 2054-2022")</f>
        <v/>
      </c>
      <c r="X17">
        <f>HYPERLINK("https://klasma.github.io/Logging_KINDA/tillsyn/A 2054-2022.docx", "A 2054-2022")</f>
        <v/>
      </c>
      <c r="Y17">
        <f>HYPERLINK("https://klasma.github.io/Logging_KINDA/tillsynsmail/A 2054-2022.docx", "A 2054-2022")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45192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10676-2022.xlsx", "A 10676-2022")</f>
        <v/>
      </c>
      <c r="T18">
        <f>HYPERLINK("https://klasma.github.io/Logging_FINSPANG/kartor/A 10676-2022.png", "A 10676-2022")</f>
        <v/>
      </c>
      <c r="V18">
        <f>HYPERLINK("https://klasma.github.io/Logging_FINSPANG/klagomål/A 10676-2022.docx", "A 10676-2022")</f>
        <v/>
      </c>
      <c r="W18">
        <f>HYPERLINK("https://klasma.github.io/Logging_FINSPANG/klagomålsmail/A 10676-2022.docx", "A 10676-2022")</f>
        <v/>
      </c>
      <c r="X18">
        <f>HYPERLINK("https://klasma.github.io/Logging_FINSPANG/tillsyn/A 10676-2022.docx", "A 10676-2022")</f>
        <v/>
      </c>
      <c r="Y18">
        <f>HYPERLINK("https://klasma.github.io/Logging_FINSPANG/tillsynsmail/A 10676-2022.docx", "A 10676-2022")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45192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54982-2019.xlsx", "A 54982-2019")</f>
        <v/>
      </c>
      <c r="T19">
        <f>HYPERLINK("https://klasma.github.io/Logging_LINKOPING/kartor/A 54982-2019.png", "A 54982-2019")</f>
        <v/>
      </c>
      <c r="V19">
        <f>HYPERLINK("https://klasma.github.io/Logging_LINKOPING/klagomål/A 54982-2019.docx", "A 54982-2019")</f>
        <v/>
      </c>
      <c r="W19">
        <f>HYPERLINK("https://klasma.github.io/Logging_LINKOPING/klagomålsmail/A 54982-2019.docx", "A 54982-2019")</f>
        <v/>
      </c>
      <c r="X19">
        <f>HYPERLINK("https://klasma.github.io/Logging_LINKOPING/tillsyn/A 54982-2019.docx", "A 54982-2019")</f>
        <v/>
      </c>
      <c r="Y19">
        <f>HYPERLINK("https://klasma.github.io/Logging_LINKOPING/tillsynsmail/A 54982-2019.docx", "A 54982-2019")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45192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59029-2019.xlsx", "A 59029-2019")</f>
        <v/>
      </c>
      <c r="T20">
        <f>HYPERLINK("https://klasma.github.io/Logging_NORRKOPING/kartor/A 59029-2019.png", "A 59029-2019")</f>
        <v/>
      </c>
      <c r="U20">
        <f>HYPERLINK("https://klasma.github.io/Logging_NORRKOPING/knärot/A 59029-2019.png", "A 59029-2019")</f>
        <v/>
      </c>
      <c r="V20">
        <f>HYPERLINK("https://klasma.github.io/Logging_NORRKOPING/klagomål/A 59029-2019.docx", "A 59029-2019")</f>
        <v/>
      </c>
      <c r="W20">
        <f>HYPERLINK("https://klasma.github.io/Logging_NORRKOPING/klagomålsmail/A 59029-2019.docx", "A 59029-2019")</f>
        <v/>
      </c>
      <c r="X20">
        <f>HYPERLINK("https://klasma.github.io/Logging_NORRKOPING/tillsyn/A 59029-2019.docx", "A 59029-2019")</f>
        <v/>
      </c>
      <c r="Y20">
        <f>HYPERLINK("https://klasma.github.io/Logging_NORRKOPING/tillsynsmail/A 59029-2019.docx", "A 59029-2019")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45192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57690-2022.xlsx", "A 57690-2022")</f>
        <v/>
      </c>
      <c r="T21">
        <f>HYPERLINK("https://klasma.github.io/Logging_FINSPANG/kartor/A 57690-2022.png", "A 57690-2022")</f>
        <v/>
      </c>
      <c r="V21">
        <f>HYPERLINK("https://klasma.github.io/Logging_FINSPANG/klagomål/A 57690-2022.docx", "A 57690-2022")</f>
        <v/>
      </c>
      <c r="W21">
        <f>HYPERLINK("https://klasma.github.io/Logging_FINSPANG/klagomålsmail/A 57690-2022.docx", "A 57690-2022")</f>
        <v/>
      </c>
      <c r="X21">
        <f>HYPERLINK("https://klasma.github.io/Logging_FINSPANG/tillsyn/A 57690-2022.docx", "A 57690-2022")</f>
        <v/>
      </c>
      <c r="Y21">
        <f>HYPERLINK("https://klasma.github.io/Logging_FINSPANG/tillsynsmail/A 57690-2022.docx", "A 57690-2022")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45192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14506-2023.xlsx", "A 14506-2023")</f>
        <v/>
      </c>
      <c r="T22">
        <f>HYPERLINK("https://klasma.github.io/Logging_NORRKOPING/kartor/A 14506-2023.png", "A 14506-2023")</f>
        <v/>
      </c>
      <c r="U22">
        <f>HYPERLINK("https://klasma.github.io/Logging_NORRKOPING/knärot/A 14506-2023.png", "A 14506-2023")</f>
        <v/>
      </c>
      <c r="V22">
        <f>HYPERLINK("https://klasma.github.io/Logging_NORRKOPING/klagomål/A 14506-2023.docx", "A 14506-2023")</f>
        <v/>
      </c>
      <c r="W22">
        <f>HYPERLINK("https://klasma.github.io/Logging_NORRKOPING/klagomålsmail/A 14506-2023.docx", "A 14506-2023")</f>
        <v/>
      </c>
      <c r="X22">
        <f>HYPERLINK("https://klasma.github.io/Logging_NORRKOPING/tillsyn/A 14506-2023.docx", "A 14506-2023")</f>
        <v/>
      </c>
      <c r="Y22">
        <f>HYPERLINK("https://klasma.github.io/Logging_NORRKOPING/tillsynsmail/A 14506-2023.docx", "A 14506-2023")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45192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34351-2023.xlsx", "A 34351-2023")</f>
        <v/>
      </c>
      <c r="T23">
        <f>HYPERLINK("https://klasma.github.io/Logging_NORRKOPING/kartor/A 34351-2023.png", "A 34351-2023")</f>
        <v/>
      </c>
      <c r="V23">
        <f>HYPERLINK("https://klasma.github.io/Logging_NORRKOPING/klagomål/A 34351-2023.docx", "A 34351-2023")</f>
        <v/>
      </c>
      <c r="W23">
        <f>HYPERLINK("https://klasma.github.io/Logging_NORRKOPING/klagomålsmail/A 34351-2023.docx", "A 34351-2023")</f>
        <v/>
      </c>
      <c r="X23">
        <f>HYPERLINK("https://klasma.github.io/Logging_NORRKOPING/tillsyn/A 34351-2023.docx", "A 34351-2023")</f>
        <v/>
      </c>
      <c r="Y23">
        <f>HYPERLINK("https://klasma.github.io/Logging_NORRKOPING/tillsynsmail/A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45192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47241-2018.xlsx", "A 47241-2018")</f>
        <v/>
      </c>
      <c r="T24">
        <f>HYPERLINK("https://klasma.github.io/Logging_ATVIDABERG/kartor/A 47241-2018.png", "A 47241-2018")</f>
        <v/>
      </c>
      <c r="V24">
        <f>HYPERLINK("https://klasma.github.io/Logging_ATVIDABERG/klagomål/A 47241-2018.docx", "A 47241-2018")</f>
        <v/>
      </c>
      <c r="W24">
        <f>HYPERLINK("https://klasma.github.io/Logging_ATVIDABERG/klagomålsmail/A 47241-2018.docx", "A 47241-2018")</f>
        <v/>
      </c>
      <c r="X24">
        <f>HYPERLINK("https://klasma.github.io/Logging_ATVIDABERG/tillsyn/A 47241-2018.docx", "A 47241-2018")</f>
        <v/>
      </c>
      <c r="Y24">
        <f>HYPERLINK("https://klasma.github.io/Logging_ATVIDABERG/tillsynsmail/A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45192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3186-2019.xlsx", "A 3186-2019")</f>
        <v/>
      </c>
      <c r="T25">
        <f>HYPERLINK("https://klasma.github.io/Logging_LINKOPING/kartor/A 3186-2019.png", "A 3186-2019")</f>
        <v/>
      </c>
      <c r="V25">
        <f>HYPERLINK("https://klasma.github.io/Logging_LINKOPING/klagomål/A 3186-2019.docx", "A 3186-2019")</f>
        <v/>
      </c>
      <c r="W25">
        <f>HYPERLINK("https://klasma.github.io/Logging_LINKOPING/klagomålsmail/A 3186-2019.docx", "A 3186-2019")</f>
        <v/>
      </c>
      <c r="X25">
        <f>HYPERLINK("https://klasma.github.io/Logging_LINKOPING/tillsyn/A 3186-2019.docx", "A 3186-2019")</f>
        <v/>
      </c>
      <c r="Y25">
        <f>HYPERLINK("https://klasma.github.io/Logging_LINKOPING/tillsynsmail/A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45192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54154-2018.xlsx", "A 54154-2018")</f>
        <v/>
      </c>
      <c r="T26">
        <f>HYPERLINK("https://klasma.github.io/Logging_FINSPANG/kartor/A 54154-2018.png", "A 54154-2018")</f>
        <v/>
      </c>
      <c r="V26">
        <f>HYPERLINK("https://klasma.github.io/Logging_FINSPANG/klagomål/A 54154-2018.docx", "A 54154-2018")</f>
        <v/>
      </c>
      <c r="W26">
        <f>HYPERLINK("https://klasma.github.io/Logging_FINSPANG/klagomålsmail/A 54154-2018.docx", "A 54154-2018")</f>
        <v/>
      </c>
      <c r="X26">
        <f>HYPERLINK("https://klasma.github.io/Logging_FINSPANG/tillsyn/A 54154-2018.docx", "A 54154-2018")</f>
        <v/>
      </c>
      <c r="Y26">
        <f>HYPERLINK("https://klasma.github.io/Logging_FINSPANG/tillsynsmail/A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45192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10102-2020.xlsx", "A 10102-2020")</f>
        <v/>
      </c>
      <c r="T27">
        <f>HYPERLINK("https://klasma.github.io/Logging_MOTALA/kartor/A 10102-2020.png", "A 10102-2020")</f>
        <v/>
      </c>
      <c r="V27">
        <f>HYPERLINK("https://klasma.github.io/Logging_MOTALA/klagomål/A 10102-2020.docx", "A 10102-2020")</f>
        <v/>
      </c>
      <c r="W27">
        <f>HYPERLINK("https://klasma.github.io/Logging_MOTALA/klagomålsmail/A 10102-2020.docx", "A 10102-2020")</f>
        <v/>
      </c>
      <c r="X27">
        <f>HYPERLINK("https://klasma.github.io/Logging_MOTALA/tillsyn/A 10102-2020.docx", "A 10102-2020")</f>
        <v/>
      </c>
      <c r="Y27">
        <f>HYPERLINK("https://klasma.github.io/Logging_MOTALA/tillsynsmail/A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45192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50386-2022.xlsx", "A 50386-2022")</f>
        <v/>
      </c>
      <c r="T28">
        <f>HYPERLINK("https://klasma.github.io/Logging_SODERKOPING/kartor/A 50386-2022.png", "A 50386-2022")</f>
        <v/>
      </c>
      <c r="V28">
        <f>HYPERLINK("https://klasma.github.io/Logging_SODERKOPING/klagomål/A 50386-2022.docx", "A 50386-2022")</f>
        <v/>
      </c>
      <c r="W28">
        <f>HYPERLINK("https://klasma.github.io/Logging_SODERKOPING/klagomålsmail/A 50386-2022.docx", "A 50386-2022")</f>
        <v/>
      </c>
      <c r="X28">
        <f>HYPERLINK("https://klasma.github.io/Logging_SODERKOPING/tillsyn/A 50386-2022.docx", "A 50386-2022")</f>
        <v/>
      </c>
      <c r="Y28">
        <f>HYPERLINK("https://klasma.github.io/Logging_SODERKOPING/tillsynsmail/A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45192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47184-2019.xlsx", "A 47184-2019")</f>
        <v/>
      </c>
      <c r="T29">
        <f>HYPERLINK("https://klasma.github.io/Logging_MOTALA/kartor/A 47184-2019.png", "A 47184-2019")</f>
        <v/>
      </c>
      <c r="U29">
        <f>HYPERLINK("https://klasma.github.io/Logging_MOTALA/knärot/A 47184-2019.png", "A 47184-2019")</f>
        <v/>
      </c>
      <c r="V29">
        <f>HYPERLINK("https://klasma.github.io/Logging_MOTALA/klagomål/A 47184-2019.docx", "A 47184-2019")</f>
        <v/>
      </c>
      <c r="W29">
        <f>HYPERLINK("https://klasma.github.io/Logging_MOTALA/klagomålsmail/A 47184-2019.docx", "A 47184-2019")</f>
        <v/>
      </c>
      <c r="X29">
        <f>HYPERLINK("https://klasma.github.io/Logging_MOTALA/tillsyn/A 47184-2019.docx", "A 47184-2019")</f>
        <v/>
      </c>
      <c r="Y29">
        <f>HYPERLINK("https://klasma.github.io/Logging_MOTALA/tillsynsmail/A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45192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12489-2020.xlsx", "A 12489-2020")</f>
        <v/>
      </c>
      <c r="T30">
        <f>HYPERLINK("https://klasma.github.io/Logging_LINKOPING/kartor/A 12489-2020.png", "A 12489-2020")</f>
        <v/>
      </c>
      <c r="V30">
        <f>HYPERLINK("https://klasma.github.io/Logging_LINKOPING/klagomål/A 12489-2020.docx", "A 12489-2020")</f>
        <v/>
      </c>
      <c r="W30">
        <f>HYPERLINK("https://klasma.github.io/Logging_LINKOPING/klagomålsmail/A 12489-2020.docx", "A 12489-2020")</f>
        <v/>
      </c>
      <c r="X30">
        <f>HYPERLINK("https://klasma.github.io/Logging_LINKOPING/tillsyn/A 12489-2020.docx", "A 12489-2020")</f>
        <v/>
      </c>
      <c r="Y30">
        <f>HYPERLINK("https://klasma.github.io/Logging_LINKOPING/tillsynsmail/A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45192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57042-2021.xlsx", "A 57042-2021")</f>
        <v/>
      </c>
      <c r="T31">
        <f>HYPERLINK("https://klasma.github.io/Logging_MJOLBY/kartor/A 57042-2021.png", "A 57042-2021")</f>
        <v/>
      </c>
      <c r="V31">
        <f>HYPERLINK("https://klasma.github.io/Logging_MJOLBY/klagomål/A 57042-2021.docx", "A 57042-2021")</f>
        <v/>
      </c>
      <c r="W31">
        <f>HYPERLINK("https://klasma.github.io/Logging_MJOLBY/klagomålsmail/A 57042-2021.docx", "A 57042-2021")</f>
        <v/>
      </c>
      <c r="X31">
        <f>HYPERLINK("https://klasma.github.io/Logging_MJOLBY/tillsyn/A 57042-2021.docx", "A 57042-2021")</f>
        <v/>
      </c>
      <c r="Y31">
        <f>HYPERLINK("https://klasma.github.io/Logging_MJOLBY/tillsynsmail/A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45192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6175-2022.xlsx", "A 6175-2022")</f>
        <v/>
      </c>
      <c r="T32">
        <f>HYPERLINK("https://klasma.github.io/Logging_FINSPANG/kartor/A 6175-2022.png", "A 6175-2022")</f>
        <v/>
      </c>
      <c r="V32">
        <f>HYPERLINK("https://klasma.github.io/Logging_FINSPANG/klagomål/A 6175-2022.docx", "A 6175-2022")</f>
        <v/>
      </c>
      <c r="W32">
        <f>HYPERLINK("https://klasma.github.io/Logging_FINSPANG/klagomålsmail/A 6175-2022.docx", "A 6175-2022")</f>
        <v/>
      </c>
      <c r="X32">
        <f>HYPERLINK("https://klasma.github.io/Logging_FINSPANG/tillsyn/A 6175-2022.docx", "A 6175-2022")</f>
        <v/>
      </c>
      <c r="Y32">
        <f>HYPERLINK("https://klasma.github.io/Logging_FINSPANG/tillsynsmail/A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45192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13129-2022.xlsx", "A 13129-2022")</f>
        <v/>
      </c>
      <c r="T33">
        <f>HYPERLINK("https://klasma.github.io/Logging_SODERKOPING/kartor/A 13129-2022.png", "A 13129-2022")</f>
        <v/>
      </c>
      <c r="V33">
        <f>HYPERLINK("https://klasma.github.io/Logging_SODERKOPING/klagomål/A 13129-2022.docx", "A 13129-2022")</f>
        <v/>
      </c>
      <c r="W33">
        <f>HYPERLINK("https://klasma.github.io/Logging_SODERKOPING/klagomålsmail/A 13129-2022.docx", "A 13129-2022")</f>
        <v/>
      </c>
      <c r="X33">
        <f>HYPERLINK("https://klasma.github.io/Logging_SODERKOPING/tillsyn/A 13129-2022.docx", "A 13129-2022")</f>
        <v/>
      </c>
      <c r="Y33">
        <f>HYPERLINK("https://klasma.github.io/Logging_SODERKOPING/tillsynsmail/A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45192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18029-2022.xlsx", "A 18029-2022")</f>
        <v/>
      </c>
      <c r="T34">
        <f>HYPERLINK("https://klasma.github.io/Logging_VADSTENA/kartor/A 18029-2022.png", "A 18029-2022")</f>
        <v/>
      </c>
      <c r="V34">
        <f>HYPERLINK("https://klasma.github.io/Logging_VADSTENA/klagomål/A 18029-2022.docx", "A 18029-2022")</f>
        <v/>
      </c>
      <c r="W34">
        <f>HYPERLINK("https://klasma.github.io/Logging_VADSTENA/klagomålsmail/A 18029-2022.docx", "A 18029-2022")</f>
        <v/>
      </c>
      <c r="X34">
        <f>HYPERLINK("https://klasma.github.io/Logging_VADSTENA/tillsyn/A 18029-2022.docx", "A 18029-2022")</f>
        <v/>
      </c>
      <c r="Y34">
        <f>HYPERLINK("https://klasma.github.io/Logging_VADSTENA/tillsynsmail/A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45192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55783-2022.xlsx", "A 55783-2022")</f>
        <v/>
      </c>
      <c r="T35">
        <f>HYPERLINK("https://klasma.github.io/Logging_LINKOPING/kartor/A 55783-2022.png", "A 55783-2022")</f>
        <v/>
      </c>
      <c r="V35">
        <f>HYPERLINK("https://klasma.github.io/Logging_LINKOPING/klagomål/A 55783-2022.docx", "A 55783-2022")</f>
        <v/>
      </c>
      <c r="W35">
        <f>HYPERLINK("https://klasma.github.io/Logging_LINKOPING/klagomålsmail/A 55783-2022.docx", "A 55783-2022")</f>
        <v/>
      </c>
      <c r="X35">
        <f>HYPERLINK("https://klasma.github.io/Logging_LINKOPING/tillsyn/A 55783-2022.docx", "A 55783-2022")</f>
        <v/>
      </c>
      <c r="Y35">
        <f>HYPERLINK("https://klasma.github.io/Logging_LINKOPING/tillsynsmail/A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45192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3382-2023.xlsx", "A 3382-2023")</f>
        <v/>
      </c>
      <c r="T36">
        <f>HYPERLINK("https://klasma.github.io/Logging_ATVIDABERG/kartor/A 3382-2023.png", "A 3382-2023")</f>
        <v/>
      </c>
      <c r="U36">
        <f>HYPERLINK("https://klasma.github.io/Logging_ATVIDABERG/knärot/A 3382-2023.png", "A 3382-2023")</f>
        <v/>
      </c>
      <c r="V36">
        <f>HYPERLINK("https://klasma.github.io/Logging_ATVIDABERG/klagomål/A 3382-2023.docx", "A 3382-2023")</f>
        <v/>
      </c>
      <c r="W36">
        <f>HYPERLINK("https://klasma.github.io/Logging_ATVIDABERG/klagomålsmail/A 3382-2023.docx", "A 3382-2023")</f>
        <v/>
      </c>
      <c r="X36">
        <f>HYPERLINK("https://klasma.github.io/Logging_ATVIDABERG/tillsyn/A 3382-2023.docx", "A 3382-2023")</f>
        <v/>
      </c>
      <c r="Y36">
        <f>HYPERLINK("https://klasma.github.io/Logging_ATVIDABERG/tillsynsmail/A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45192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24774-2020.xlsx", "A 24774-2020")</f>
        <v/>
      </c>
      <c r="T37">
        <f>HYPERLINK("https://klasma.github.io/Logging_MOTALA/kartor/A 24774-2020.png", "A 24774-2020")</f>
        <v/>
      </c>
      <c r="U37">
        <f>HYPERLINK("https://klasma.github.io/Logging_MOTALA/knärot/A 24774-2020.png", "A 24774-2020")</f>
        <v/>
      </c>
      <c r="V37">
        <f>HYPERLINK("https://klasma.github.io/Logging_MOTALA/klagomål/A 24774-2020.docx", "A 24774-2020")</f>
        <v/>
      </c>
      <c r="W37">
        <f>HYPERLINK("https://klasma.github.io/Logging_MOTALA/klagomålsmail/A 24774-2020.docx", "A 24774-2020")</f>
        <v/>
      </c>
      <c r="X37">
        <f>HYPERLINK("https://klasma.github.io/Logging_MOTALA/tillsyn/A 24774-2020.docx", "A 24774-2020")</f>
        <v/>
      </c>
      <c r="Y37">
        <f>HYPERLINK("https://klasma.github.io/Logging_MOTALA/tillsynsmail/A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45192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66948-2020.xlsx", "A 66948-2020")</f>
        <v/>
      </c>
      <c r="T38">
        <f>HYPERLINK("https://klasma.github.io/Logging_LINKOPING/kartor/A 66948-2020.png", "A 66948-2020")</f>
        <v/>
      </c>
      <c r="V38">
        <f>HYPERLINK("https://klasma.github.io/Logging_LINKOPING/klagomål/A 66948-2020.docx", "A 66948-2020")</f>
        <v/>
      </c>
      <c r="W38">
        <f>HYPERLINK("https://klasma.github.io/Logging_LINKOPING/klagomålsmail/A 66948-2020.docx", "A 66948-2020")</f>
        <v/>
      </c>
      <c r="X38">
        <f>HYPERLINK("https://klasma.github.io/Logging_LINKOPING/tillsyn/A 66948-2020.docx", "A 66948-2020")</f>
        <v/>
      </c>
      <c r="Y38">
        <f>HYPERLINK("https://klasma.github.io/Logging_LINKOPING/tillsynsmail/A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45192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16473-2021.xlsx", "A 16473-2021")</f>
        <v/>
      </c>
      <c r="T39">
        <f>HYPERLINK("https://klasma.github.io/Logging_LINKOPING/kartor/A 16473-2021.png", "A 16473-2021")</f>
        <v/>
      </c>
      <c r="V39">
        <f>HYPERLINK("https://klasma.github.io/Logging_LINKOPING/klagomål/A 16473-2021.docx", "A 16473-2021")</f>
        <v/>
      </c>
      <c r="W39">
        <f>HYPERLINK("https://klasma.github.io/Logging_LINKOPING/klagomålsmail/A 16473-2021.docx", "A 16473-2021")</f>
        <v/>
      </c>
      <c r="X39">
        <f>HYPERLINK("https://klasma.github.io/Logging_LINKOPING/tillsyn/A 16473-2021.docx", "A 16473-2021")</f>
        <v/>
      </c>
      <c r="Y39">
        <f>HYPERLINK("https://klasma.github.io/Logging_LINKOPING/tillsynsmail/A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45192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1076-2022.xlsx", "A 1076-2022")</f>
        <v/>
      </c>
      <c r="T40">
        <f>HYPERLINK("https://klasma.github.io/Logging_VALDEMARSVIK/kartor/A 1076-2022.png", "A 1076-2022")</f>
        <v/>
      </c>
      <c r="U40">
        <f>HYPERLINK("https://klasma.github.io/Logging_VALDEMARSVIK/knärot/A 1076-2022.png", "A 1076-2022")</f>
        <v/>
      </c>
      <c r="V40">
        <f>HYPERLINK("https://klasma.github.io/Logging_VALDEMARSVIK/klagomål/A 1076-2022.docx", "A 1076-2022")</f>
        <v/>
      </c>
      <c r="W40">
        <f>HYPERLINK("https://klasma.github.io/Logging_VALDEMARSVIK/klagomålsmail/A 1076-2022.docx", "A 1076-2022")</f>
        <v/>
      </c>
      <c r="X40">
        <f>HYPERLINK("https://klasma.github.io/Logging_VALDEMARSVIK/tillsyn/A 1076-2022.docx", "A 1076-2022")</f>
        <v/>
      </c>
      <c r="Y40">
        <f>HYPERLINK("https://klasma.github.io/Logging_VALDEMARSVIK/tillsynsmail/A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45192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2055-2022.xlsx", "A 2055-2022")</f>
        <v/>
      </c>
      <c r="T41">
        <f>HYPERLINK("https://klasma.github.io/Logging_KINDA/kartor/A 2055-2022.png", "A 2055-2022")</f>
        <v/>
      </c>
      <c r="U41">
        <f>HYPERLINK("https://klasma.github.io/Logging_KINDA/knärot/A 2055-2022.png", "A 2055-2022")</f>
        <v/>
      </c>
      <c r="V41">
        <f>HYPERLINK("https://klasma.github.io/Logging_KINDA/klagomål/A 2055-2022.docx", "A 2055-2022")</f>
        <v/>
      </c>
      <c r="W41">
        <f>HYPERLINK("https://klasma.github.io/Logging_KINDA/klagomålsmail/A 2055-2022.docx", "A 2055-2022")</f>
        <v/>
      </c>
      <c r="X41">
        <f>HYPERLINK("https://klasma.github.io/Logging_KINDA/tillsyn/A 2055-2022.docx", "A 2055-2022")</f>
        <v/>
      </c>
      <c r="Y41">
        <f>HYPERLINK("https://klasma.github.io/Logging_KINDA/tillsynsmail/A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45192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30637-2022.xlsx", "A 30637-2022")</f>
        <v/>
      </c>
      <c r="T42">
        <f>HYPERLINK("https://klasma.github.io/Logging_MOTALA/kartor/A 30637-2022.png", "A 30637-2022")</f>
        <v/>
      </c>
      <c r="U42">
        <f>HYPERLINK("https://klasma.github.io/Logging_MOTALA/knärot/A 30637-2022.png", "A 30637-2022")</f>
        <v/>
      </c>
      <c r="V42">
        <f>HYPERLINK("https://klasma.github.io/Logging_MOTALA/klagomål/A 30637-2022.docx", "A 30637-2022")</f>
        <v/>
      </c>
      <c r="W42">
        <f>HYPERLINK("https://klasma.github.io/Logging_MOTALA/klagomålsmail/A 30637-2022.docx", "A 30637-2022")</f>
        <v/>
      </c>
      <c r="X42">
        <f>HYPERLINK("https://klasma.github.io/Logging_MOTALA/tillsyn/A 30637-2022.docx", "A 30637-2022")</f>
        <v/>
      </c>
      <c r="Y42">
        <f>HYPERLINK("https://klasma.github.io/Logging_MOTALA/tillsynsmail/A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45192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55723-2022.xlsx", "A 55723-2022")</f>
        <v/>
      </c>
      <c r="T43">
        <f>HYPERLINK("https://klasma.github.io/Logging_FINSPANG/kartor/A 55723-2022.png", "A 55723-2022")</f>
        <v/>
      </c>
      <c r="V43">
        <f>HYPERLINK("https://klasma.github.io/Logging_FINSPANG/klagomål/A 55723-2022.docx", "A 55723-2022")</f>
        <v/>
      </c>
      <c r="W43">
        <f>HYPERLINK("https://klasma.github.io/Logging_FINSPANG/klagomålsmail/A 55723-2022.docx", "A 55723-2022")</f>
        <v/>
      </c>
      <c r="X43">
        <f>HYPERLINK("https://klasma.github.io/Logging_FINSPANG/tillsyn/A 55723-2022.docx", "A 55723-2022")</f>
        <v/>
      </c>
      <c r="Y43">
        <f>HYPERLINK("https://klasma.github.io/Logging_FINSPANG/tillsynsmail/A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45192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1999-2023.xlsx", "A 1999-2023")</f>
        <v/>
      </c>
      <c r="T44">
        <f>HYPERLINK("https://klasma.github.io/Logging_KINDA/kartor/A 1999-2023.png", "A 1999-2023")</f>
        <v/>
      </c>
      <c r="V44">
        <f>HYPERLINK("https://klasma.github.io/Logging_KINDA/klagomål/A 1999-2023.docx", "A 1999-2023")</f>
        <v/>
      </c>
      <c r="W44">
        <f>HYPERLINK("https://klasma.github.io/Logging_KINDA/klagomålsmail/A 1999-2023.docx", "A 1999-2023")</f>
        <v/>
      </c>
      <c r="X44">
        <f>HYPERLINK("https://klasma.github.io/Logging_KINDA/tillsyn/A 1999-2023.docx", "A 1999-2023")</f>
        <v/>
      </c>
      <c r="Y44">
        <f>HYPERLINK("https://klasma.github.io/Logging_KINDA/tillsynsmail/A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45192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3380-2023.xlsx", "A 3380-2023")</f>
        <v/>
      </c>
      <c r="T45">
        <f>HYPERLINK("https://klasma.github.io/Logging_ATVIDABERG/kartor/A 3380-2023.png", "A 3380-2023")</f>
        <v/>
      </c>
      <c r="U45">
        <f>HYPERLINK("https://klasma.github.io/Logging_ATVIDABERG/knärot/A 3380-2023.png", "A 3380-2023")</f>
        <v/>
      </c>
      <c r="V45">
        <f>HYPERLINK("https://klasma.github.io/Logging_ATVIDABERG/klagomål/A 3380-2023.docx", "A 3380-2023")</f>
        <v/>
      </c>
      <c r="W45">
        <f>HYPERLINK("https://klasma.github.io/Logging_ATVIDABERG/klagomålsmail/A 3380-2023.docx", "A 3380-2023")</f>
        <v/>
      </c>
      <c r="X45">
        <f>HYPERLINK("https://klasma.github.io/Logging_ATVIDABERG/tillsyn/A 3380-2023.docx", "A 3380-2023")</f>
        <v/>
      </c>
      <c r="Y45">
        <f>HYPERLINK("https://klasma.github.io/Logging_ATVIDABERG/tillsynsmail/A 3380-2023.docx", "A 3380-2023")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45192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34644-2023.xlsx", "A 34644-2023")</f>
        <v/>
      </c>
      <c r="T46">
        <f>HYPERLINK("https://klasma.github.io/Logging_NORRKOPING/kartor/A 34644-2023.png", "A 34644-2023")</f>
        <v/>
      </c>
      <c r="V46">
        <f>HYPERLINK("https://klasma.github.io/Logging_NORRKOPING/klagomål/A 34644-2023.docx", "A 34644-2023")</f>
        <v/>
      </c>
      <c r="W46">
        <f>HYPERLINK("https://klasma.github.io/Logging_NORRKOPING/klagomålsmail/A 34644-2023.docx", "A 34644-2023")</f>
        <v/>
      </c>
      <c r="X46">
        <f>HYPERLINK("https://klasma.github.io/Logging_NORRKOPING/tillsyn/A 34644-2023.docx", "A 34644-2023")</f>
        <v/>
      </c>
      <c r="Y46">
        <f>HYPERLINK("https://klasma.github.io/Logging_NORRKOPING/tillsynsmail/A 34644-2023.docx", "A 34644-2023")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45192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42447-2020.xlsx", "A 42447-2020")</f>
        <v/>
      </c>
      <c r="T47">
        <f>HYPERLINK("https://klasma.github.io/Logging_NORRKOPING/kartor/A 42447-2020.png", "A 42447-2020")</f>
        <v/>
      </c>
      <c r="V47">
        <f>HYPERLINK("https://klasma.github.io/Logging_NORRKOPING/klagomål/A 42447-2020.docx", "A 42447-2020")</f>
        <v/>
      </c>
      <c r="W47">
        <f>HYPERLINK("https://klasma.github.io/Logging_NORRKOPING/klagomålsmail/A 42447-2020.docx", "A 42447-2020")</f>
        <v/>
      </c>
      <c r="X47">
        <f>HYPERLINK("https://klasma.github.io/Logging_NORRKOPING/tillsyn/A 42447-2020.docx", "A 42447-2020")</f>
        <v/>
      </c>
      <c r="Y47">
        <f>HYPERLINK("https://klasma.github.io/Logging_NORRKOPING/tillsynsmail/A 42447-2020.docx", "A 42447-2020")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45192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45008-2020.xlsx", "A 45008-2020")</f>
        <v/>
      </c>
      <c r="T48">
        <f>HYPERLINK("https://klasma.github.io/Logging_KINDA/kartor/A 45008-2020.png", "A 45008-2020")</f>
        <v/>
      </c>
      <c r="U48">
        <f>HYPERLINK("https://klasma.github.io/Logging_KINDA/knärot/A 45008-2020.png", "A 45008-2020")</f>
        <v/>
      </c>
      <c r="V48">
        <f>HYPERLINK("https://klasma.github.io/Logging_KINDA/klagomål/A 45008-2020.docx", "A 45008-2020")</f>
        <v/>
      </c>
      <c r="W48">
        <f>HYPERLINK("https://klasma.github.io/Logging_KINDA/klagomålsmail/A 45008-2020.docx", "A 45008-2020")</f>
        <v/>
      </c>
      <c r="X48">
        <f>HYPERLINK("https://klasma.github.io/Logging_KINDA/tillsyn/A 45008-2020.docx", "A 45008-2020")</f>
        <v/>
      </c>
      <c r="Y48">
        <f>HYPERLINK("https://klasma.github.io/Logging_KINDA/tillsynsmail/A 45008-2020.docx", "A 45008-2020")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45192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10483-2021.xlsx", "A 10483-2021")</f>
        <v/>
      </c>
      <c r="T49">
        <f>HYPERLINK("https://klasma.github.io/Logging_YDRE/kartor/A 10483-2021.png", "A 10483-2021")</f>
        <v/>
      </c>
      <c r="V49">
        <f>HYPERLINK("https://klasma.github.io/Logging_YDRE/klagomål/A 10483-2021.docx", "A 10483-2021")</f>
        <v/>
      </c>
      <c r="W49">
        <f>HYPERLINK("https://klasma.github.io/Logging_YDRE/klagomålsmail/A 10483-2021.docx", "A 10483-2021")</f>
        <v/>
      </c>
      <c r="X49">
        <f>HYPERLINK("https://klasma.github.io/Logging_YDRE/tillsyn/A 10483-2021.docx", "A 10483-2021")</f>
        <v/>
      </c>
      <c r="Y49">
        <f>HYPERLINK("https://klasma.github.io/Logging_YDRE/tillsynsmail/A 10483-2021.docx", "A 10483-2021")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45192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38065-2021.xlsx", "A 38065-2021")</f>
        <v/>
      </c>
      <c r="T50">
        <f>HYPERLINK("https://klasma.github.io/Logging_FINSPANG/kartor/A 38065-2021.png", "A 38065-2021")</f>
        <v/>
      </c>
      <c r="V50">
        <f>HYPERLINK("https://klasma.github.io/Logging_FINSPANG/klagomål/A 38065-2021.docx", "A 38065-2021")</f>
        <v/>
      </c>
      <c r="W50">
        <f>HYPERLINK("https://klasma.github.io/Logging_FINSPANG/klagomålsmail/A 38065-2021.docx", "A 38065-2021")</f>
        <v/>
      </c>
      <c r="X50">
        <f>HYPERLINK("https://klasma.github.io/Logging_FINSPANG/tillsyn/A 38065-2021.docx", "A 38065-2021")</f>
        <v/>
      </c>
      <c r="Y50">
        <f>HYPERLINK("https://klasma.github.io/Logging_FINSPANG/tillsynsmail/A 38065-2021.docx", "A 38065-2021")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45192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50496-2021.xlsx", "A 50496-2021")</f>
        <v/>
      </c>
      <c r="T51">
        <f>HYPERLINK("https://klasma.github.io/Logging_ATVIDABERG/kartor/A 50496-2021.png", "A 50496-2021")</f>
        <v/>
      </c>
      <c r="V51">
        <f>HYPERLINK("https://klasma.github.io/Logging_ATVIDABERG/klagomål/A 50496-2021.docx", "A 50496-2021")</f>
        <v/>
      </c>
      <c r="W51">
        <f>HYPERLINK("https://klasma.github.io/Logging_ATVIDABERG/klagomålsmail/A 50496-2021.docx", "A 50496-2021")</f>
        <v/>
      </c>
      <c r="X51">
        <f>HYPERLINK("https://klasma.github.io/Logging_ATVIDABERG/tillsyn/A 50496-2021.docx", "A 50496-2021")</f>
        <v/>
      </c>
      <c r="Y51">
        <f>HYPERLINK("https://klasma.github.io/Logging_ATVIDABERG/tillsynsmail/A 50496-2021.docx", "A 50496-2021")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45192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50852-2021.xlsx", "A 50852-2021")</f>
        <v/>
      </c>
      <c r="T52">
        <f>HYPERLINK("https://klasma.github.io/Logging_ATVIDABERG/kartor/A 50852-2021.png", "A 50852-2021")</f>
        <v/>
      </c>
      <c r="V52">
        <f>HYPERLINK("https://klasma.github.io/Logging_ATVIDABERG/klagomål/A 50852-2021.docx", "A 50852-2021")</f>
        <v/>
      </c>
      <c r="W52">
        <f>HYPERLINK("https://klasma.github.io/Logging_ATVIDABERG/klagomålsmail/A 50852-2021.docx", "A 50852-2021")</f>
        <v/>
      </c>
      <c r="X52">
        <f>HYPERLINK("https://klasma.github.io/Logging_ATVIDABERG/tillsyn/A 50852-2021.docx", "A 50852-2021")</f>
        <v/>
      </c>
      <c r="Y52">
        <f>HYPERLINK("https://klasma.github.io/Logging_ATVIDABERG/tillsynsmail/A 50852-2021.docx", "A 50852-2021")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45192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57617-2021.xlsx", "A 57617-2021")</f>
        <v/>
      </c>
      <c r="T53">
        <f>HYPERLINK("https://klasma.github.io/Logging_KINDA/kartor/A 57617-2021.png", "A 57617-2021")</f>
        <v/>
      </c>
      <c r="V53">
        <f>HYPERLINK("https://klasma.github.io/Logging_KINDA/klagomål/A 57617-2021.docx", "A 57617-2021")</f>
        <v/>
      </c>
      <c r="W53">
        <f>HYPERLINK("https://klasma.github.io/Logging_KINDA/klagomålsmail/A 57617-2021.docx", "A 57617-2021")</f>
        <v/>
      </c>
      <c r="X53">
        <f>HYPERLINK("https://klasma.github.io/Logging_KINDA/tillsyn/A 57617-2021.docx", "A 57617-2021")</f>
        <v/>
      </c>
      <c r="Y53">
        <f>HYPERLINK("https://klasma.github.io/Logging_KINDA/tillsynsmail/A 57617-2021.docx", "A 57617-2021")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45192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72592-2021.xlsx", "A 72592-2021")</f>
        <v/>
      </c>
      <c r="T54">
        <f>HYPERLINK("https://klasma.github.io/Logging_ATVIDABERG/kartor/A 72592-2021.png", "A 72592-2021")</f>
        <v/>
      </c>
      <c r="V54">
        <f>HYPERLINK("https://klasma.github.io/Logging_ATVIDABERG/klagomål/A 72592-2021.docx", "A 72592-2021")</f>
        <v/>
      </c>
      <c r="W54">
        <f>HYPERLINK("https://klasma.github.io/Logging_ATVIDABERG/klagomålsmail/A 72592-2021.docx", "A 72592-2021")</f>
        <v/>
      </c>
      <c r="X54">
        <f>HYPERLINK("https://klasma.github.io/Logging_ATVIDABERG/tillsyn/A 72592-2021.docx", "A 72592-2021")</f>
        <v/>
      </c>
      <c r="Y54">
        <f>HYPERLINK("https://klasma.github.io/Logging_ATVIDABERG/tillsynsmail/A 72592-2021.docx", "A 72592-2021")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45192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74267-2021.xlsx", "A 74267-2021")</f>
        <v/>
      </c>
      <c r="T55">
        <f>HYPERLINK("https://klasma.github.io/Logging_NORRKOPING/kartor/A 74267-2021.png", "A 74267-2021")</f>
        <v/>
      </c>
      <c r="V55">
        <f>HYPERLINK("https://klasma.github.io/Logging_NORRKOPING/klagomål/A 74267-2021.docx", "A 74267-2021")</f>
        <v/>
      </c>
      <c r="W55">
        <f>HYPERLINK("https://klasma.github.io/Logging_NORRKOPING/klagomålsmail/A 74267-2021.docx", "A 74267-2021")</f>
        <v/>
      </c>
      <c r="X55">
        <f>HYPERLINK("https://klasma.github.io/Logging_NORRKOPING/tillsyn/A 74267-2021.docx", "A 74267-2021")</f>
        <v/>
      </c>
      <c r="Y55">
        <f>HYPERLINK("https://klasma.github.io/Logging_NORRKOPING/tillsynsmail/A 74267-2021.docx", "A 74267-2021")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45192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8237-2023.xlsx", "A 8237-2023")</f>
        <v/>
      </c>
      <c r="T56">
        <f>HYPERLINK("https://klasma.github.io/Logging_KINDA/kartor/A 8237-2023.png", "A 8237-2023")</f>
        <v/>
      </c>
      <c r="V56">
        <f>HYPERLINK("https://klasma.github.io/Logging_KINDA/klagomål/A 8237-2023.docx", "A 8237-2023")</f>
        <v/>
      </c>
      <c r="W56">
        <f>HYPERLINK("https://klasma.github.io/Logging_KINDA/klagomålsmail/A 8237-2023.docx", "A 8237-2023")</f>
        <v/>
      </c>
      <c r="X56">
        <f>HYPERLINK("https://klasma.github.io/Logging_KINDA/tillsyn/A 8237-2023.docx", "A 8237-2023")</f>
        <v/>
      </c>
      <c r="Y56">
        <f>HYPERLINK("https://klasma.github.io/Logging_KINDA/tillsynsmail/A 8237-2023.docx", "A 8237-2023")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45192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14507-2023.xlsx", "A 14507-2023")</f>
        <v/>
      </c>
      <c r="T57">
        <f>HYPERLINK("https://klasma.github.io/Logging_NORRKOPING/kartor/A 14507-2023.png", "A 14507-2023")</f>
        <v/>
      </c>
      <c r="U57">
        <f>HYPERLINK("https://klasma.github.io/Logging_NORRKOPING/knärot/A 14507-2023.png", "A 14507-2023")</f>
        <v/>
      </c>
      <c r="V57">
        <f>HYPERLINK("https://klasma.github.io/Logging_NORRKOPING/klagomål/A 14507-2023.docx", "A 14507-2023")</f>
        <v/>
      </c>
      <c r="W57">
        <f>HYPERLINK("https://klasma.github.io/Logging_NORRKOPING/klagomålsmail/A 14507-2023.docx", "A 14507-2023")</f>
        <v/>
      </c>
      <c r="X57">
        <f>HYPERLINK("https://klasma.github.io/Logging_NORRKOPING/tillsyn/A 14507-2023.docx", "A 14507-2023")</f>
        <v/>
      </c>
      <c r="Y57">
        <f>HYPERLINK("https://klasma.github.io/Logging_NORRKOPING/tillsynsmail/A 14507-2023.docx", "A 14507-2023")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45192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35125-2018.xlsx", "A 35125-2018")</f>
        <v/>
      </c>
      <c r="T58">
        <f>HYPERLINK("https://klasma.github.io/Logging_FINSPANG/kartor/A 35125-2018.png", "A 35125-2018")</f>
        <v/>
      </c>
      <c r="V58">
        <f>HYPERLINK("https://klasma.github.io/Logging_FINSPANG/klagomål/A 35125-2018.docx", "A 35125-2018")</f>
        <v/>
      </c>
      <c r="W58">
        <f>HYPERLINK("https://klasma.github.io/Logging_FINSPANG/klagomålsmail/A 35125-2018.docx", "A 35125-2018")</f>
        <v/>
      </c>
      <c r="X58">
        <f>HYPERLINK("https://klasma.github.io/Logging_FINSPANG/tillsyn/A 35125-2018.docx", "A 35125-2018")</f>
        <v/>
      </c>
      <c r="Y58">
        <f>HYPERLINK("https://klasma.github.io/Logging_FINSPANG/tillsynsmail/A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45192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34818-2019.xlsx", "A 34818-2019")</f>
        <v/>
      </c>
      <c r="T59">
        <f>HYPERLINK("https://klasma.github.io/Logging_LINKOPING/kartor/A 34818-2019.png", "A 34818-2019")</f>
        <v/>
      </c>
      <c r="V59">
        <f>HYPERLINK("https://klasma.github.io/Logging_LINKOPING/klagomål/A 34818-2019.docx", "A 34818-2019")</f>
        <v/>
      </c>
      <c r="W59">
        <f>HYPERLINK("https://klasma.github.io/Logging_LINKOPING/klagomålsmail/A 34818-2019.docx", "A 34818-2019")</f>
        <v/>
      </c>
      <c r="X59">
        <f>HYPERLINK("https://klasma.github.io/Logging_LINKOPING/tillsyn/A 34818-2019.docx", "A 34818-2019")</f>
        <v/>
      </c>
      <c r="Y59">
        <f>HYPERLINK("https://klasma.github.io/Logging_LINKOPING/tillsynsmail/A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45192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61056-2019.xlsx", "A 61056-2019")</f>
        <v/>
      </c>
      <c r="T60">
        <f>HYPERLINK("https://klasma.github.io/Logging_MJOLBY/kartor/A 61056-2019.png", "A 61056-2019")</f>
        <v/>
      </c>
      <c r="U60">
        <f>HYPERLINK("https://klasma.github.io/Logging_MJOLBY/knärot/A 61056-2019.png", "A 61056-2019")</f>
        <v/>
      </c>
      <c r="V60">
        <f>HYPERLINK("https://klasma.github.io/Logging_MJOLBY/klagomål/A 61056-2019.docx", "A 61056-2019")</f>
        <v/>
      </c>
      <c r="W60">
        <f>HYPERLINK("https://klasma.github.io/Logging_MJOLBY/klagomålsmail/A 61056-2019.docx", "A 61056-2019")</f>
        <v/>
      </c>
      <c r="X60">
        <f>HYPERLINK("https://klasma.github.io/Logging_MJOLBY/tillsyn/A 61056-2019.docx", "A 61056-2019")</f>
        <v/>
      </c>
      <c r="Y60">
        <f>HYPERLINK("https://klasma.github.io/Logging_MJOLBY/tillsynsmail/A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45192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63334-2019.xlsx", "A 63334-2019")</f>
        <v/>
      </c>
      <c r="T61">
        <f>HYPERLINK("https://klasma.github.io/Logging_BOXHOLM/kartor/A 63334-2019.png", "A 63334-2019")</f>
        <v/>
      </c>
      <c r="V61">
        <f>HYPERLINK("https://klasma.github.io/Logging_BOXHOLM/klagomål/A 63334-2019.docx", "A 63334-2019")</f>
        <v/>
      </c>
      <c r="W61">
        <f>HYPERLINK("https://klasma.github.io/Logging_BOXHOLM/klagomålsmail/A 63334-2019.docx", "A 63334-2019")</f>
        <v/>
      </c>
      <c r="X61">
        <f>HYPERLINK("https://klasma.github.io/Logging_BOXHOLM/tillsyn/A 63334-2019.docx", "A 63334-2019")</f>
        <v/>
      </c>
      <c r="Y61">
        <f>HYPERLINK("https://klasma.github.io/Logging_BOXHOLM/tillsynsmail/A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45192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3286-2020.xlsx", "A 3286-2020")</f>
        <v/>
      </c>
      <c r="T62">
        <f>HYPERLINK("https://klasma.github.io/Logging_LINKOPING/kartor/A 3286-2020.png", "A 3286-2020")</f>
        <v/>
      </c>
      <c r="V62">
        <f>HYPERLINK("https://klasma.github.io/Logging_LINKOPING/klagomål/A 3286-2020.docx", "A 3286-2020")</f>
        <v/>
      </c>
      <c r="W62">
        <f>HYPERLINK("https://klasma.github.io/Logging_LINKOPING/klagomålsmail/A 3286-2020.docx", "A 3286-2020")</f>
        <v/>
      </c>
      <c r="X62">
        <f>HYPERLINK("https://klasma.github.io/Logging_LINKOPING/tillsyn/A 3286-2020.docx", "A 3286-2020")</f>
        <v/>
      </c>
      <c r="Y62">
        <f>HYPERLINK("https://klasma.github.io/Logging_LINKOPING/tillsynsmail/A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45192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8661-2020.xlsx", "A 8661-2020")</f>
        <v/>
      </c>
      <c r="T63">
        <f>HYPERLINK("https://klasma.github.io/Logging_LINKOPING/kartor/A 8661-2020.png", "A 8661-2020")</f>
        <v/>
      </c>
      <c r="V63">
        <f>HYPERLINK("https://klasma.github.io/Logging_LINKOPING/klagomål/A 8661-2020.docx", "A 8661-2020")</f>
        <v/>
      </c>
      <c r="W63">
        <f>HYPERLINK("https://klasma.github.io/Logging_LINKOPING/klagomålsmail/A 8661-2020.docx", "A 8661-2020")</f>
        <v/>
      </c>
      <c r="X63">
        <f>HYPERLINK("https://klasma.github.io/Logging_LINKOPING/tillsyn/A 8661-2020.docx", "A 8661-2020")</f>
        <v/>
      </c>
      <c r="Y63">
        <f>HYPERLINK("https://klasma.github.io/Logging_LINKOPING/tillsynsmail/A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45192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19094-2020.xlsx", "A 19094-2020")</f>
        <v/>
      </c>
      <c r="T64">
        <f>HYPERLINK("https://klasma.github.io/Logging_MOTALA/kartor/A 19094-2020.png", "A 19094-2020")</f>
        <v/>
      </c>
      <c r="V64">
        <f>HYPERLINK("https://klasma.github.io/Logging_MOTALA/klagomål/A 19094-2020.docx", "A 19094-2020")</f>
        <v/>
      </c>
      <c r="W64">
        <f>HYPERLINK("https://klasma.github.io/Logging_MOTALA/klagomålsmail/A 19094-2020.docx", "A 19094-2020")</f>
        <v/>
      </c>
      <c r="X64">
        <f>HYPERLINK("https://klasma.github.io/Logging_MOTALA/tillsyn/A 19094-2020.docx", "A 19094-2020")</f>
        <v/>
      </c>
      <c r="Y64">
        <f>HYPERLINK("https://klasma.github.io/Logging_MOTALA/tillsynsmail/A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45192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21081-2020.xlsx", "A 21081-2020")</f>
        <v/>
      </c>
      <c r="T65">
        <f>HYPERLINK("https://klasma.github.io/Logging_NORRKOPING/kartor/A 21081-2020.png", "A 21081-2020")</f>
        <v/>
      </c>
      <c r="V65">
        <f>HYPERLINK("https://klasma.github.io/Logging_NORRKOPING/klagomål/A 21081-2020.docx", "A 21081-2020")</f>
        <v/>
      </c>
      <c r="W65">
        <f>HYPERLINK("https://klasma.github.io/Logging_NORRKOPING/klagomålsmail/A 21081-2020.docx", "A 21081-2020")</f>
        <v/>
      </c>
      <c r="X65">
        <f>HYPERLINK("https://klasma.github.io/Logging_NORRKOPING/tillsyn/A 21081-2020.docx", "A 21081-2020")</f>
        <v/>
      </c>
      <c r="Y65">
        <f>HYPERLINK("https://klasma.github.io/Logging_NORRKOPING/tillsynsmail/A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45192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30913-2020.xlsx", "A 30913-2020")</f>
        <v/>
      </c>
      <c r="T66">
        <f>HYPERLINK("https://klasma.github.io/Logging_FINSPANG/kartor/A 30913-2020.png", "A 30913-2020")</f>
        <v/>
      </c>
      <c r="V66">
        <f>HYPERLINK("https://klasma.github.io/Logging_FINSPANG/klagomål/A 30913-2020.docx", "A 30913-2020")</f>
        <v/>
      </c>
      <c r="W66">
        <f>HYPERLINK("https://klasma.github.io/Logging_FINSPANG/klagomålsmail/A 30913-2020.docx", "A 30913-2020")</f>
        <v/>
      </c>
      <c r="X66">
        <f>HYPERLINK("https://klasma.github.io/Logging_FINSPANG/tillsyn/A 30913-2020.docx", "A 30913-2020")</f>
        <v/>
      </c>
      <c r="Y66">
        <f>HYPERLINK("https://klasma.github.io/Logging_FINSPANG/tillsynsmail/A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45192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40049-2020.xlsx", "A 40049-2020")</f>
        <v/>
      </c>
      <c r="T67">
        <f>HYPERLINK("https://klasma.github.io/Logging_NORRKOPING/kartor/A 40049-2020.png", "A 40049-2020")</f>
        <v/>
      </c>
      <c r="V67">
        <f>HYPERLINK("https://klasma.github.io/Logging_NORRKOPING/klagomål/A 40049-2020.docx", "A 40049-2020")</f>
        <v/>
      </c>
      <c r="W67">
        <f>HYPERLINK("https://klasma.github.io/Logging_NORRKOPING/klagomålsmail/A 40049-2020.docx", "A 40049-2020")</f>
        <v/>
      </c>
      <c r="X67">
        <f>HYPERLINK("https://klasma.github.io/Logging_NORRKOPING/tillsyn/A 40049-2020.docx", "A 40049-2020")</f>
        <v/>
      </c>
      <c r="Y67">
        <f>HYPERLINK("https://klasma.github.io/Logging_NORRKOPING/tillsynsmail/A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45192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9383-2021.xlsx", "A 9383-2021")</f>
        <v/>
      </c>
      <c r="T68">
        <f>HYPERLINK("https://klasma.github.io/Logging_ATVIDABERG/kartor/A 9383-2021.png", "A 9383-2021")</f>
        <v/>
      </c>
      <c r="U68">
        <f>HYPERLINK("https://klasma.github.io/Logging_ATVIDABERG/knärot/A 9383-2021.png", "A 9383-2021")</f>
        <v/>
      </c>
      <c r="V68">
        <f>HYPERLINK("https://klasma.github.io/Logging_ATVIDABERG/klagomål/A 9383-2021.docx", "A 9383-2021")</f>
        <v/>
      </c>
      <c r="W68">
        <f>HYPERLINK("https://klasma.github.io/Logging_ATVIDABERG/klagomålsmail/A 9383-2021.docx", "A 9383-2021")</f>
        <v/>
      </c>
      <c r="X68">
        <f>HYPERLINK("https://klasma.github.io/Logging_ATVIDABERG/tillsyn/A 9383-2021.docx", "A 9383-2021")</f>
        <v/>
      </c>
      <c r="Y68">
        <f>HYPERLINK("https://klasma.github.io/Logging_ATVIDABERG/tillsynsmail/A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45192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40970-2021.xlsx", "A 40970-2021")</f>
        <v/>
      </c>
      <c r="T69">
        <f>HYPERLINK("https://klasma.github.io/Logging_LINKOPING/kartor/A 40970-2021.png", "A 40970-2021")</f>
        <v/>
      </c>
      <c r="U69">
        <f>HYPERLINK("https://klasma.github.io/Logging_LINKOPING/knärot/A 40970-2021.png", "A 40970-2021")</f>
        <v/>
      </c>
      <c r="V69">
        <f>HYPERLINK("https://klasma.github.io/Logging_LINKOPING/klagomål/A 40970-2021.docx", "A 40970-2021")</f>
        <v/>
      </c>
      <c r="W69">
        <f>HYPERLINK("https://klasma.github.io/Logging_LINKOPING/klagomålsmail/A 40970-2021.docx", "A 40970-2021")</f>
        <v/>
      </c>
      <c r="X69">
        <f>HYPERLINK("https://klasma.github.io/Logging_LINKOPING/tillsyn/A 40970-2021.docx", "A 40970-2021")</f>
        <v/>
      </c>
      <c r="Y69">
        <f>HYPERLINK("https://klasma.github.io/Logging_LINKOPING/tillsynsmail/A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45192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56271-2021.xlsx", "A 56271-2021")</f>
        <v/>
      </c>
      <c r="T70">
        <f>HYPERLINK("https://klasma.github.io/Logging_LINKOPING/kartor/A 56271-2021.png", "A 56271-2021")</f>
        <v/>
      </c>
      <c r="V70">
        <f>HYPERLINK("https://klasma.github.io/Logging_LINKOPING/klagomål/A 56271-2021.docx", "A 56271-2021")</f>
        <v/>
      </c>
      <c r="W70">
        <f>HYPERLINK("https://klasma.github.io/Logging_LINKOPING/klagomålsmail/A 56271-2021.docx", "A 56271-2021")</f>
        <v/>
      </c>
      <c r="X70">
        <f>HYPERLINK("https://klasma.github.io/Logging_LINKOPING/tillsyn/A 56271-2021.docx", "A 56271-2021")</f>
        <v/>
      </c>
      <c r="Y70">
        <f>HYPERLINK("https://klasma.github.io/Logging_LINKOPING/tillsynsmail/A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45192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65599-2021.xlsx", "A 65599-2021")</f>
        <v/>
      </c>
      <c r="T71">
        <f>HYPERLINK("https://klasma.github.io/Logging_ATVIDABERG/kartor/A 65599-2021.png", "A 65599-2021")</f>
        <v/>
      </c>
      <c r="V71">
        <f>HYPERLINK("https://klasma.github.io/Logging_ATVIDABERG/klagomål/A 65599-2021.docx", "A 65599-2021")</f>
        <v/>
      </c>
      <c r="W71">
        <f>HYPERLINK("https://klasma.github.io/Logging_ATVIDABERG/klagomålsmail/A 65599-2021.docx", "A 65599-2021")</f>
        <v/>
      </c>
      <c r="X71">
        <f>HYPERLINK("https://klasma.github.io/Logging_ATVIDABERG/tillsyn/A 65599-2021.docx", "A 65599-2021")</f>
        <v/>
      </c>
      <c r="Y71">
        <f>HYPERLINK("https://klasma.github.io/Logging_ATVIDABERG/tillsynsmail/A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45192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2165-2022.xlsx", "A 2165-2022")</f>
        <v/>
      </c>
      <c r="T72">
        <f>HYPERLINK("https://klasma.github.io/Logging_NORRKOPING/kartor/A 2165-2022.png", "A 2165-2022")</f>
        <v/>
      </c>
      <c r="V72">
        <f>HYPERLINK("https://klasma.github.io/Logging_NORRKOPING/klagomål/A 2165-2022.docx", "A 2165-2022")</f>
        <v/>
      </c>
      <c r="W72">
        <f>HYPERLINK("https://klasma.github.io/Logging_NORRKOPING/klagomålsmail/A 2165-2022.docx", "A 2165-2022")</f>
        <v/>
      </c>
      <c r="X72">
        <f>HYPERLINK("https://klasma.github.io/Logging_NORRKOPING/tillsyn/A 2165-2022.docx", "A 2165-2022")</f>
        <v/>
      </c>
      <c r="Y72">
        <f>HYPERLINK("https://klasma.github.io/Logging_NORRKOPING/tillsynsmail/A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45192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32058-2022.xlsx", "A 32058-2022")</f>
        <v/>
      </c>
      <c r="T73">
        <f>HYPERLINK("https://klasma.github.io/Logging_ATVIDABERG/kartor/A 32058-2022.png", "A 32058-2022")</f>
        <v/>
      </c>
      <c r="U73">
        <f>HYPERLINK("https://klasma.github.io/Logging_ATVIDABERG/knärot/A 32058-2022.png", "A 32058-2022")</f>
        <v/>
      </c>
      <c r="V73">
        <f>HYPERLINK("https://klasma.github.io/Logging_ATVIDABERG/klagomål/A 32058-2022.docx", "A 32058-2022")</f>
        <v/>
      </c>
      <c r="W73">
        <f>HYPERLINK("https://klasma.github.io/Logging_ATVIDABERG/klagomålsmail/A 32058-2022.docx", "A 32058-2022")</f>
        <v/>
      </c>
      <c r="X73">
        <f>HYPERLINK("https://klasma.github.io/Logging_ATVIDABERG/tillsyn/A 32058-2022.docx", "A 32058-2022")</f>
        <v/>
      </c>
      <c r="Y73">
        <f>HYPERLINK("https://klasma.github.io/Logging_ATVIDABERG/tillsynsmail/A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45192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40422-2022.xlsx", "A 40422-2022")</f>
        <v/>
      </c>
      <c r="T74">
        <f>HYPERLINK("https://klasma.github.io/Logging_ATVIDABERG/kartor/A 40422-2022.png", "A 40422-2022")</f>
        <v/>
      </c>
      <c r="V74">
        <f>HYPERLINK("https://klasma.github.io/Logging_ATVIDABERG/klagomål/A 40422-2022.docx", "A 40422-2022")</f>
        <v/>
      </c>
      <c r="W74">
        <f>HYPERLINK("https://klasma.github.io/Logging_ATVIDABERG/klagomålsmail/A 40422-2022.docx", "A 40422-2022")</f>
        <v/>
      </c>
      <c r="X74">
        <f>HYPERLINK("https://klasma.github.io/Logging_ATVIDABERG/tillsyn/A 40422-2022.docx", "A 40422-2022")</f>
        <v/>
      </c>
      <c r="Y74">
        <f>HYPERLINK("https://klasma.github.io/Logging_ATVIDABERG/tillsynsmail/A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45192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6352-2023.xlsx", "A 6352-2023")</f>
        <v/>
      </c>
      <c r="T75">
        <f>HYPERLINK("https://klasma.github.io/Logging_LINKOPING/kartor/A 6352-2023.png", "A 6352-2023")</f>
        <v/>
      </c>
      <c r="V75">
        <f>HYPERLINK("https://klasma.github.io/Logging_LINKOPING/klagomål/A 6352-2023.docx", "A 6352-2023")</f>
        <v/>
      </c>
      <c r="W75">
        <f>HYPERLINK("https://klasma.github.io/Logging_LINKOPING/klagomålsmail/A 6352-2023.docx", "A 6352-2023")</f>
        <v/>
      </c>
      <c r="X75">
        <f>HYPERLINK("https://klasma.github.io/Logging_LINKOPING/tillsyn/A 6352-2023.docx", "A 6352-2023")</f>
        <v/>
      </c>
      <c r="Y75">
        <f>HYPERLINK("https://klasma.github.io/Logging_LINKOPING/tillsynsmail/A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45192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26284-2023.xlsx", "A 26284-2023")</f>
        <v/>
      </c>
      <c r="T76">
        <f>HYPERLINK("https://klasma.github.io/Logging_FINSPANG/kartor/A 26284-2023.png", "A 26284-2023")</f>
        <v/>
      </c>
      <c r="V76">
        <f>HYPERLINK("https://klasma.github.io/Logging_FINSPANG/klagomål/A 26284-2023.docx", "A 26284-2023")</f>
        <v/>
      </c>
      <c r="W76">
        <f>HYPERLINK("https://klasma.github.io/Logging_FINSPANG/klagomålsmail/A 26284-2023.docx", "A 26284-2023")</f>
        <v/>
      </c>
      <c r="X76">
        <f>HYPERLINK("https://klasma.github.io/Logging_FINSPANG/tillsyn/A 26284-2023.docx", "A 26284-2023")</f>
        <v/>
      </c>
      <c r="Y76">
        <f>HYPERLINK("https://klasma.github.io/Logging_FINSPANG/tillsynsmail/A 26284-2023.docx", "A 26284-2023")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45192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58553-2018.xlsx", "A 58553-2018")</f>
        <v/>
      </c>
      <c r="T77">
        <f>HYPERLINK("https://klasma.github.io/Logging_YDRE/kartor/A 58553-2018.png", "A 58553-2018")</f>
        <v/>
      </c>
      <c r="V77">
        <f>HYPERLINK("https://klasma.github.io/Logging_YDRE/klagomål/A 58553-2018.docx", "A 58553-2018")</f>
        <v/>
      </c>
      <c r="W77">
        <f>HYPERLINK("https://klasma.github.io/Logging_YDRE/klagomålsmail/A 58553-2018.docx", "A 58553-2018")</f>
        <v/>
      </c>
      <c r="X77">
        <f>HYPERLINK("https://klasma.github.io/Logging_YDRE/tillsyn/A 58553-2018.docx", "A 58553-2018")</f>
        <v/>
      </c>
      <c r="Y77">
        <f>HYPERLINK("https://klasma.github.io/Logging_YDRE/tillsynsmail/A 58553-2018.docx", "A 58553-2018")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45192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69584-2018.xlsx", "A 69584-2018")</f>
        <v/>
      </c>
      <c r="T78">
        <f>HYPERLINK("https://klasma.github.io/Logging_NORRKOPING/kartor/A 69584-2018.png", "A 69584-2018")</f>
        <v/>
      </c>
      <c r="U78">
        <f>HYPERLINK("https://klasma.github.io/Logging_NORRKOPING/knärot/A 69584-2018.png", "A 69584-2018")</f>
        <v/>
      </c>
      <c r="V78">
        <f>HYPERLINK("https://klasma.github.io/Logging_NORRKOPING/klagomål/A 69584-2018.docx", "A 69584-2018")</f>
        <v/>
      </c>
      <c r="W78">
        <f>HYPERLINK("https://klasma.github.io/Logging_NORRKOPING/klagomålsmail/A 69584-2018.docx", "A 69584-2018")</f>
        <v/>
      </c>
      <c r="X78">
        <f>HYPERLINK("https://klasma.github.io/Logging_NORRKOPING/tillsyn/A 69584-2018.docx", "A 69584-2018")</f>
        <v/>
      </c>
      <c r="Y78">
        <f>HYPERLINK("https://klasma.github.io/Logging_NORRKOPING/tillsynsmail/A 69584-2018.docx", "A 69584-2018")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45192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5622-2019.xlsx", "A 5622-2019")</f>
        <v/>
      </c>
      <c r="T79">
        <f>HYPERLINK("https://klasma.github.io/Logging_LINKOPING/kartor/A 5622-2019.png", "A 5622-2019")</f>
        <v/>
      </c>
      <c r="V79">
        <f>HYPERLINK("https://klasma.github.io/Logging_LINKOPING/klagomål/A 5622-2019.docx", "A 5622-2019")</f>
        <v/>
      </c>
      <c r="W79">
        <f>HYPERLINK("https://klasma.github.io/Logging_LINKOPING/klagomålsmail/A 5622-2019.docx", "A 5622-2019")</f>
        <v/>
      </c>
      <c r="X79">
        <f>HYPERLINK("https://klasma.github.io/Logging_LINKOPING/tillsyn/A 5622-2019.docx", "A 5622-2019")</f>
        <v/>
      </c>
      <c r="Y79">
        <f>HYPERLINK("https://klasma.github.io/Logging_LINKOPING/tillsynsmail/A 5622-2019.docx", "A 5622-2019")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45192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11419-2019.xlsx", "A 11419-2019")</f>
        <v/>
      </c>
      <c r="T80">
        <f>HYPERLINK("https://klasma.github.io/Logging_YDRE/kartor/A 11419-2019.png", "A 11419-2019")</f>
        <v/>
      </c>
      <c r="V80">
        <f>HYPERLINK("https://klasma.github.io/Logging_YDRE/klagomål/A 11419-2019.docx", "A 11419-2019")</f>
        <v/>
      </c>
      <c r="W80">
        <f>HYPERLINK("https://klasma.github.io/Logging_YDRE/klagomålsmail/A 11419-2019.docx", "A 11419-2019")</f>
        <v/>
      </c>
      <c r="X80">
        <f>HYPERLINK("https://klasma.github.io/Logging_YDRE/tillsyn/A 11419-2019.docx", "A 11419-2019")</f>
        <v/>
      </c>
      <c r="Y80">
        <f>HYPERLINK("https://klasma.github.io/Logging_YDRE/tillsynsmail/A 11419-2019.docx", "A 11419-2019")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45192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20300-2019.xlsx", "A 20300-2019")</f>
        <v/>
      </c>
      <c r="T81">
        <f>HYPERLINK("https://klasma.github.io/Logging_ODESHOG/kartor/A 20300-2019.png", "A 20300-2019")</f>
        <v/>
      </c>
      <c r="V81">
        <f>HYPERLINK("https://klasma.github.io/Logging_ODESHOG/klagomål/A 20300-2019.docx", "A 20300-2019")</f>
        <v/>
      </c>
      <c r="W81">
        <f>HYPERLINK("https://klasma.github.io/Logging_ODESHOG/klagomålsmail/A 20300-2019.docx", "A 20300-2019")</f>
        <v/>
      </c>
      <c r="X81">
        <f>HYPERLINK("https://klasma.github.io/Logging_ODESHOG/tillsyn/A 20300-2019.docx", "A 20300-2019")</f>
        <v/>
      </c>
      <c r="Y81">
        <f>HYPERLINK("https://klasma.github.io/Logging_ODESHOG/tillsynsmail/A 20300-2019.docx", "A 20300-2019")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45192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34176-2019.xlsx", "A 34176-2019")</f>
        <v/>
      </c>
      <c r="T82">
        <f>HYPERLINK("https://klasma.github.io/Logging_NORRKOPING/kartor/A 34176-2019.png", "A 34176-2019")</f>
        <v/>
      </c>
      <c r="V82">
        <f>HYPERLINK("https://klasma.github.io/Logging_NORRKOPING/klagomål/A 34176-2019.docx", "A 34176-2019")</f>
        <v/>
      </c>
      <c r="W82">
        <f>HYPERLINK("https://klasma.github.io/Logging_NORRKOPING/klagomålsmail/A 34176-2019.docx", "A 34176-2019")</f>
        <v/>
      </c>
      <c r="X82">
        <f>HYPERLINK("https://klasma.github.io/Logging_NORRKOPING/tillsyn/A 34176-2019.docx", "A 34176-2019")</f>
        <v/>
      </c>
      <c r="Y82">
        <f>HYPERLINK("https://klasma.github.io/Logging_NORRKOPING/tillsynsmail/A 34176-2019.docx", "A 34176-2019")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45192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35697-2019.xlsx", "A 35697-2019")</f>
        <v/>
      </c>
      <c r="T83">
        <f>HYPERLINK("https://klasma.github.io/Logging_LINKOPING/kartor/A 35697-2019.png", "A 35697-2019")</f>
        <v/>
      </c>
      <c r="V83">
        <f>HYPERLINK("https://klasma.github.io/Logging_LINKOPING/klagomål/A 35697-2019.docx", "A 35697-2019")</f>
        <v/>
      </c>
      <c r="W83">
        <f>HYPERLINK("https://klasma.github.io/Logging_LINKOPING/klagomålsmail/A 35697-2019.docx", "A 35697-2019")</f>
        <v/>
      </c>
      <c r="X83">
        <f>HYPERLINK("https://klasma.github.io/Logging_LINKOPING/tillsyn/A 35697-2019.docx", "A 35697-2019")</f>
        <v/>
      </c>
      <c r="Y83">
        <f>HYPERLINK("https://klasma.github.io/Logging_LINKOPING/tillsynsmail/A 35697-2019.docx", "A 35697-2019")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45192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50566-2019.xlsx", "A 50566-2019")</f>
        <v/>
      </c>
      <c r="T84">
        <f>HYPERLINK("https://klasma.github.io/Logging_MOTALA/kartor/A 50566-2019.png", "A 50566-2019")</f>
        <v/>
      </c>
      <c r="V84">
        <f>HYPERLINK("https://klasma.github.io/Logging_MOTALA/klagomål/A 50566-2019.docx", "A 50566-2019")</f>
        <v/>
      </c>
      <c r="W84">
        <f>HYPERLINK("https://klasma.github.io/Logging_MOTALA/klagomålsmail/A 50566-2019.docx", "A 50566-2019")</f>
        <v/>
      </c>
      <c r="X84">
        <f>HYPERLINK("https://klasma.github.io/Logging_MOTALA/tillsyn/A 50566-2019.docx", "A 50566-2019")</f>
        <v/>
      </c>
      <c r="Y84">
        <f>HYPERLINK("https://klasma.github.io/Logging_MOTALA/tillsynsmail/A 50566-2019.docx", "A 50566-2019")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45192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3682-2020.xlsx", "A 3682-2020")</f>
        <v/>
      </c>
      <c r="T85">
        <f>HYPERLINK("https://klasma.github.io/Logging_FINSPANG/kartor/A 3682-2020.png", "A 3682-2020")</f>
        <v/>
      </c>
      <c r="V85">
        <f>HYPERLINK("https://klasma.github.io/Logging_FINSPANG/klagomål/A 3682-2020.docx", "A 3682-2020")</f>
        <v/>
      </c>
      <c r="W85">
        <f>HYPERLINK("https://klasma.github.io/Logging_FINSPANG/klagomålsmail/A 3682-2020.docx", "A 3682-2020")</f>
        <v/>
      </c>
      <c r="X85">
        <f>HYPERLINK("https://klasma.github.io/Logging_FINSPANG/tillsyn/A 3682-2020.docx", "A 3682-2020")</f>
        <v/>
      </c>
      <c r="Y85">
        <f>HYPERLINK("https://klasma.github.io/Logging_FINSPANG/tillsynsmail/A 3682-2020.docx", "A 3682-2020")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45192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5212-2020.xlsx", "A 5212-2020")</f>
        <v/>
      </c>
      <c r="T86">
        <f>HYPERLINK("https://klasma.github.io/Logging_VALDEMARSVIK/kartor/A 5212-2020.png", "A 5212-2020")</f>
        <v/>
      </c>
      <c r="V86">
        <f>HYPERLINK("https://klasma.github.io/Logging_VALDEMARSVIK/klagomål/A 5212-2020.docx", "A 5212-2020")</f>
        <v/>
      </c>
      <c r="W86">
        <f>HYPERLINK("https://klasma.github.io/Logging_VALDEMARSVIK/klagomålsmail/A 5212-2020.docx", "A 5212-2020")</f>
        <v/>
      </c>
      <c r="X86">
        <f>HYPERLINK("https://klasma.github.io/Logging_VALDEMARSVIK/tillsyn/A 5212-2020.docx", "A 5212-2020")</f>
        <v/>
      </c>
      <c r="Y86">
        <f>HYPERLINK("https://klasma.github.io/Logging_VALDEMARSVIK/tillsynsmail/A 5212-2020.docx", "A 5212-2020")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45192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31109-2020.xlsx", "A 31109-2020")</f>
        <v/>
      </c>
      <c r="T87">
        <f>HYPERLINK("https://klasma.github.io/Logging_ATVIDABERG/kartor/A 31109-2020.png", "A 31109-2020")</f>
        <v/>
      </c>
      <c r="V87">
        <f>HYPERLINK("https://klasma.github.io/Logging_ATVIDABERG/klagomål/A 31109-2020.docx", "A 31109-2020")</f>
        <v/>
      </c>
      <c r="W87">
        <f>HYPERLINK("https://klasma.github.io/Logging_ATVIDABERG/klagomålsmail/A 31109-2020.docx", "A 31109-2020")</f>
        <v/>
      </c>
      <c r="X87">
        <f>HYPERLINK("https://klasma.github.io/Logging_ATVIDABERG/tillsyn/A 31109-2020.docx", "A 31109-2020")</f>
        <v/>
      </c>
      <c r="Y87">
        <f>HYPERLINK("https://klasma.github.io/Logging_ATVIDABERG/tillsynsmail/A 31109-2020.docx", "A 31109-2020")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45192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44668-2020.xlsx", "A 44668-2020")</f>
        <v/>
      </c>
      <c r="T88">
        <f>HYPERLINK("https://klasma.github.io/Logging_LINKOPING/kartor/A 44668-2020.png", "A 44668-2020")</f>
        <v/>
      </c>
      <c r="V88">
        <f>HYPERLINK("https://klasma.github.io/Logging_LINKOPING/klagomål/A 44668-2020.docx", "A 44668-2020")</f>
        <v/>
      </c>
      <c r="W88">
        <f>HYPERLINK("https://klasma.github.io/Logging_LINKOPING/klagomålsmail/A 44668-2020.docx", "A 44668-2020")</f>
        <v/>
      </c>
      <c r="X88">
        <f>HYPERLINK("https://klasma.github.io/Logging_LINKOPING/tillsyn/A 44668-2020.docx", "A 44668-2020")</f>
        <v/>
      </c>
      <c r="Y88">
        <f>HYPERLINK("https://klasma.github.io/Logging_LINKOPING/tillsynsmail/A 44668-2020.docx", "A 44668-2020")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45192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48663-2020.xlsx", "A 48663-2020")</f>
        <v/>
      </c>
      <c r="T89">
        <f>HYPERLINK("https://klasma.github.io/Logging_FINSPANG/kartor/A 48663-2020.png", "A 48663-2020")</f>
        <v/>
      </c>
      <c r="V89">
        <f>HYPERLINK("https://klasma.github.io/Logging_FINSPANG/klagomål/A 48663-2020.docx", "A 48663-2020")</f>
        <v/>
      </c>
      <c r="W89">
        <f>HYPERLINK("https://klasma.github.io/Logging_FINSPANG/klagomålsmail/A 48663-2020.docx", "A 48663-2020")</f>
        <v/>
      </c>
      <c r="X89">
        <f>HYPERLINK("https://klasma.github.io/Logging_FINSPANG/tillsyn/A 48663-2020.docx", "A 48663-2020")</f>
        <v/>
      </c>
      <c r="Y89">
        <f>HYPERLINK("https://klasma.github.io/Logging_FINSPANG/tillsynsmail/A 48663-2020.docx", "A 48663-2020")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45192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55863-2020.xlsx", "A 55863-2020")</f>
        <v/>
      </c>
      <c r="T90">
        <f>HYPERLINK("https://klasma.github.io/Logging_FINSPANG/kartor/A 55863-2020.png", "A 55863-2020")</f>
        <v/>
      </c>
      <c r="V90">
        <f>HYPERLINK("https://klasma.github.io/Logging_FINSPANG/klagomål/A 55863-2020.docx", "A 55863-2020")</f>
        <v/>
      </c>
      <c r="W90">
        <f>HYPERLINK("https://klasma.github.io/Logging_FINSPANG/klagomålsmail/A 55863-2020.docx", "A 55863-2020")</f>
        <v/>
      </c>
      <c r="X90">
        <f>HYPERLINK("https://klasma.github.io/Logging_FINSPANG/tillsyn/A 55863-2020.docx", "A 55863-2020")</f>
        <v/>
      </c>
      <c r="Y90">
        <f>HYPERLINK("https://klasma.github.io/Logging_FINSPANG/tillsynsmail/A 55863-2020.docx", "A 55863-2020")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45192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8654-2021.xlsx", "A 8654-2021")</f>
        <v/>
      </c>
      <c r="T91">
        <f>HYPERLINK("https://klasma.github.io/Logging_SODERKOPING/kartor/A 8654-2021.png", "A 8654-2021")</f>
        <v/>
      </c>
      <c r="V91">
        <f>HYPERLINK("https://klasma.github.io/Logging_SODERKOPING/klagomål/A 8654-2021.docx", "A 8654-2021")</f>
        <v/>
      </c>
      <c r="W91">
        <f>HYPERLINK("https://klasma.github.io/Logging_SODERKOPING/klagomålsmail/A 8654-2021.docx", "A 8654-2021")</f>
        <v/>
      </c>
      <c r="X91">
        <f>HYPERLINK("https://klasma.github.io/Logging_SODERKOPING/tillsyn/A 8654-2021.docx", "A 8654-2021")</f>
        <v/>
      </c>
      <c r="Y91">
        <f>HYPERLINK("https://klasma.github.io/Logging_SODERKOPING/tillsynsmail/A 8654-2021.docx", "A 8654-2021")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45192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10275-2021.xlsx", "A 10275-2021")</f>
        <v/>
      </c>
      <c r="T92">
        <f>HYPERLINK("https://klasma.github.io/Logging_ATVIDABERG/kartor/A 10275-2021.png", "A 10275-2021")</f>
        <v/>
      </c>
      <c r="V92">
        <f>HYPERLINK("https://klasma.github.io/Logging_ATVIDABERG/klagomål/A 10275-2021.docx", "A 10275-2021")</f>
        <v/>
      </c>
      <c r="W92">
        <f>HYPERLINK("https://klasma.github.io/Logging_ATVIDABERG/klagomålsmail/A 10275-2021.docx", "A 10275-2021")</f>
        <v/>
      </c>
      <c r="X92">
        <f>HYPERLINK("https://klasma.github.io/Logging_ATVIDABERG/tillsyn/A 10275-2021.docx", "A 10275-2021")</f>
        <v/>
      </c>
      <c r="Y92">
        <f>HYPERLINK("https://klasma.github.io/Logging_ATVIDABERG/tillsynsmail/A 10275-2021.docx", "A 10275-2021")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45192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12419-2021.xlsx", "A 12419-2021")</f>
        <v/>
      </c>
      <c r="T93">
        <f>HYPERLINK("https://klasma.github.io/Logging_NORRKOPING/kartor/A 12419-2021.png", "A 12419-2021")</f>
        <v/>
      </c>
      <c r="V93">
        <f>HYPERLINK("https://klasma.github.io/Logging_NORRKOPING/klagomål/A 12419-2021.docx", "A 12419-2021")</f>
        <v/>
      </c>
      <c r="W93">
        <f>HYPERLINK("https://klasma.github.io/Logging_NORRKOPING/klagomålsmail/A 12419-2021.docx", "A 12419-2021")</f>
        <v/>
      </c>
      <c r="X93">
        <f>HYPERLINK("https://klasma.github.io/Logging_NORRKOPING/tillsyn/A 12419-2021.docx", "A 12419-2021")</f>
        <v/>
      </c>
      <c r="Y93">
        <f>HYPERLINK("https://klasma.github.io/Logging_NORRKOPING/tillsynsmail/A 12419-2021.docx", "A 12419-2021")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45192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67603-2021.xlsx", "A 67603-2021")</f>
        <v/>
      </c>
      <c r="T94">
        <f>HYPERLINK("https://klasma.github.io/Logging_MJOLBY/kartor/A 67603-2021.png", "A 67603-2021")</f>
        <v/>
      </c>
      <c r="V94">
        <f>HYPERLINK("https://klasma.github.io/Logging_MJOLBY/klagomål/A 67603-2021.docx", "A 67603-2021")</f>
        <v/>
      </c>
      <c r="W94">
        <f>HYPERLINK("https://klasma.github.io/Logging_MJOLBY/klagomålsmail/A 67603-2021.docx", "A 67603-2021")</f>
        <v/>
      </c>
      <c r="X94">
        <f>HYPERLINK("https://klasma.github.io/Logging_MJOLBY/tillsyn/A 67603-2021.docx", "A 67603-2021")</f>
        <v/>
      </c>
      <c r="Y94">
        <f>HYPERLINK("https://klasma.github.io/Logging_MJOLBY/tillsynsmail/A 67603-2021.docx", "A 67603-2021")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45192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1075-2022.xlsx", "A 1075-2022")</f>
        <v/>
      </c>
      <c r="T95">
        <f>HYPERLINK("https://klasma.github.io/Logging_VALDEMARSVIK/kartor/A 1075-2022.png", "A 1075-2022")</f>
        <v/>
      </c>
      <c r="U95">
        <f>HYPERLINK("https://klasma.github.io/Logging_VALDEMARSVIK/knärot/A 1075-2022.png", "A 1075-2022")</f>
        <v/>
      </c>
      <c r="V95">
        <f>HYPERLINK("https://klasma.github.io/Logging_VALDEMARSVIK/klagomål/A 1075-2022.docx", "A 1075-2022")</f>
        <v/>
      </c>
      <c r="W95">
        <f>HYPERLINK("https://klasma.github.io/Logging_VALDEMARSVIK/klagomålsmail/A 1075-2022.docx", "A 1075-2022")</f>
        <v/>
      </c>
      <c r="X95">
        <f>HYPERLINK("https://klasma.github.io/Logging_VALDEMARSVIK/tillsyn/A 1075-2022.docx", "A 1075-2022")</f>
        <v/>
      </c>
      <c r="Y95">
        <f>HYPERLINK("https://klasma.github.io/Logging_VALDEMARSVIK/tillsynsmail/A 1075-2022.docx", "A 1075-2022")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45192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1541-2022.xlsx", "A 1541-2022")</f>
        <v/>
      </c>
      <c r="T96">
        <f>HYPERLINK("https://klasma.github.io/Logging_FINSPANG/kartor/A 1541-2022.png", "A 1541-2022")</f>
        <v/>
      </c>
      <c r="V96">
        <f>HYPERLINK("https://klasma.github.io/Logging_FINSPANG/klagomål/A 1541-2022.docx", "A 1541-2022")</f>
        <v/>
      </c>
      <c r="W96">
        <f>HYPERLINK("https://klasma.github.io/Logging_FINSPANG/klagomålsmail/A 1541-2022.docx", "A 1541-2022")</f>
        <v/>
      </c>
      <c r="X96">
        <f>HYPERLINK("https://klasma.github.io/Logging_FINSPANG/tillsyn/A 1541-2022.docx", "A 1541-2022")</f>
        <v/>
      </c>
      <c r="Y96">
        <f>HYPERLINK("https://klasma.github.io/Logging_FINSPANG/tillsynsmail/A 1541-2022.docx", "A 1541-2022")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45192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17502-2022.xlsx", "A 17502-2022")</f>
        <v/>
      </c>
      <c r="T97">
        <f>HYPERLINK("https://klasma.github.io/Logging_LINKOPING/kartor/A 17502-2022.png", "A 17502-2022")</f>
        <v/>
      </c>
      <c r="V97">
        <f>HYPERLINK("https://klasma.github.io/Logging_LINKOPING/klagomål/A 17502-2022.docx", "A 17502-2022")</f>
        <v/>
      </c>
      <c r="W97">
        <f>HYPERLINK("https://klasma.github.io/Logging_LINKOPING/klagomålsmail/A 17502-2022.docx", "A 17502-2022")</f>
        <v/>
      </c>
      <c r="X97">
        <f>HYPERLINK("https://klasma.github.io/Logging_LINKOPING/tillsyn/A 17502-2022.docx", "A 17502-2022")</f>
        <v/>
      </c>
      <c r="Y97">
        <f>HYPERLINK("https://klasma.github.io/Logging_LINKOPING/tillsynsmail/A 17502-2022.docx", "A 17502-2022")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45192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17518-2022.xlsx", "A 17518-2022")</f>
        <v/>
      </c>
      <c r="T98">
        <f>HYPERLINK("https://klasma.github.io/Logging_LINKOPING/kartor/A 17518-2022.png", "A 17518-2022")</f>
        <v/>
      </c>
      <c r="V98">
        <f>HYPERLINK("https://klasma.github.io/Logging_LINKOPING/klagomål/A 17518-2022.docx", "A 17518-2022")</f>
        <v/>
      </c>
      <c r="W98">
        <f>HYPERLINK("https://klasma.github.io/Logging_LINKOPING/klagomålsmail/A 17518-2022.docx", "A 17518-2022")</f>
        <v/>
      </c>
      <c r="X98">
        <f>HYPERLINK("https://klasma.github.io/Logging_LINKOPING/tillsyn/A 17518-2022.docx", "A 17518-2022")</f>
        <v/>
      </c>
      <c r="Y98">
        <f>HYPERLINK("https://klasma.github.io/Logging_LINKOPING/tillsynsmail/A 17518-2022.docx", "A 17518-2022")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45192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22312-2022.xlsx", "A 22312-2022")</f>
        <v/>
      </c>
      <c r="T99">
        <f>HYPERLINK("https://klasma.github.io/Logging_VALDEMARSVIK/kartor/A 22312-2022.png", "A 22312-2022")</f>
        <v/>
      </c>
      <c r="V99">
        <f>HYPERLINK("https://klasma.github.io/Logging_VALDEMARSVIK/klagomål/A 22312-2022.docx", "A 22312-2022")</f>
        <v/>
      </c>
      <c r="W99">
        <f>HYPERLINK("https://klasma.github.io/Logging_VALDEMARSVIK/klagomålsmail/A 22312-2022.docx", "A 22312-2022")</f>
        <v/>
      </c>
      <c r="X99">
        <f>HYPERLINK("https://klasma.github.io/Logging_VALDEMARSVIK/tillsyn/A 22312-2022.docx", "A 22312-2022")</f>
        <v/>
      </c>
      <c r="Y99">
        <f>HYPERLINK("https://klasma.github.io/Logging_VALDEMARSVIK/tillsynsmail/A 22312-2022.docx", "A 22312-2022")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45192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32571-2022.xlsx", "A 32571-2022")</f>
        <v/>
      </c>
      <c r="T100">
        <f>HYPERLINK("https://klasma.github.io/Logging_LINKOPING/kartor/A 32571-2022.png", "A 32571-2022")</f>
        <v/>
      </c>
      <c r="V100">
        <f>HYPERLINK("https://klasma.github.io/Logging_LINKOPING/klagomål/A 32571-2022.docx", "A 32571-2022")</f>
        <v/>
      </c>
      <c r="W100">
        <f>HYPERLINK("https://klasma.github.io/Logging_LINKOPING/klagomålsmail/A 32571-2022.docx", "A 32571-2022")</f>
        <v/>
      </c>
      <c r="X100">
        <f>HYPERLINK("https://klasma.github.io/Logging_LINKOPING/tillsyn/A 32571-2022.docx", "A 32571-2022")</f>
        <v/>
      </c>
      <c r="Y100">
        <f>HYPERLINK("https://klasma.github.io/Logging_LINKOPING/tillsynsmail/A 32571-2022.docx", "A 32571-2022")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45192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861-2023.xlsx", "A 861-2023")</f>
        <v/>
      </c>
      <c r="T101">
        <f>HYPERLINK("https://klasma.github.io/Logging_NORRKOPING/kartor/A 861-2023.png", "A 861-2023")</f>
        <v/>
      </c>
      <c r="V101">
        <f>HYPERLINK("https://klasma.github.io/Logging_NORRKOPING/klagomål/A 861-2023.docx", "A 861-2023")</f>
        <v/>
      </c>
      <c r="W101">
        <f>HYPERLINK("https://klasma.github.io/Logging_NORRKOPING/klagomålsmail/A 861-2023.docx", "A 861-2023")</f>
        <v/>
      </c>
      <c r="X101">
        <f>HYPERLINK("https://klasma.github.io/Logging_NORRKOPING/tillsyn/A 861-2023.docx", "A 861-2023")</f>
        <v/>
      </c>
      <c r="Y101">
        <f>HYPERLINK("https://klasma.github.io/Logging_NORRKOPING/tillsynsmail/A 861-2023.docx", "A 861-2023")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45192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5119-2023.xlsx", "A 5119-2023")</f>
        <v/>
      </c>
      <c r="T102">
        <f>HYPERLINK("https://klasma.github.io/Logging_KINDA/kartor/A 5119-2023.png", "A 5119-2023")</f>
        <v/>
      </c>
      <c r="V102">
        <f>HYPERLINK("https://klasma.github.io/Logging_KINDA/klagomål/A 5119-2023.docx", "A 5119-2023")</f>
        <v/>
      </c>
      <c r="W102">
        <f>HYPERLINK("https://klasma.github.io/Logging_KINDA/klagomålsmail/A 5119-2023.docx", "A 5119-2023")</f>
        <v/>
      </c>
      <c r="X102">
        <f>HYPERLINK("https://klasma.github.io/Logging_KINDA/tillsyn/A 5119-2023.docx", "A 5119-2023")</f>
        <v/>
      </c>
      <c r="Y102">
        <f>HYPERLINK("https://klasma.github.io/Logging_KINDA/tillsynsmail/A 5119-2023.docx", "A 5119-2023")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45192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8468-2023.xlsx", "A 8468-2023")</f>
        <v/>
      </c>
      <c r="T103">
        <f>HYPERLINK("https://klasma.github.io/Logging_NORRKOPING/kartor/A 8468-2023.png", "A 8468-2023")</f>
        <v/>
      </c>
      <c r="V103">
        <f>HYPERLINK("https://klasma.github.io/Logging_NORRKOPING/klagomål/A 8468-2023.docx", "A 8468-2023")</f>
        <v/>
      </c>
      <c r="W103">
        <f>HYPERLINK("https://klasma.github.io/Logging_NORRKOPING/klagomålsmail/A 8468-2023.docx", "A 8468-2023")</f>
        <v/>
      </c>
      <c r="X103">
        <f>HYPERLINK("https://klasma.github.io/Logging_NORRKOPING/tillsyn/A 8468-2023.docx", "A 8468-2023")</f>
        <v/>
      </c>
      <c r="Y103">
        <f>HYPERLINK("https://klasma.github.io/Logging_NORRKOPING/tillsynsmail/A 8468-2023.docx", "A 8468-2023")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45192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22259-2023.xlsx", "A 22259-2023")</f>
        <v/>
      </c>
      <c r="T104">
        <f>HYPERLINK("https://klasma.github.io/Logging_YDRE/kartor/A 22259-2023.png", "A 22259-2023")</f>
        <v/>
      </c>
      <c r="V104">
        <f>HYPERLINK("https://klasma.github.io/Logging_YDRE/klagomål/A 22259-2023.docx", "A 22259-2023")</f>
        <v/>
      </c>
      <c r="W104">
        <f>HYPERLINK("https://klasma.github.io/Logging_YDRE/klagomålsmail/A 22259-2023.docx", "A 22259-2023")</f>
        <v/>
      </c>
      <c r="X104">
        <f>HYPERLINK("https://klasma.github.io/Logging_YDRE/tillsyn/A 22259-2023.docx", "A 22259-2023")</f>
        <v/>
      </c>
      <c r="Y104">
        <f>HYPERLINK("https://klasma.github.io/Logging_YDRE/tillsynsmail/A 22259-2023.docx", "A 22259-2023")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45192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26385-2023.xlsx", "A 26385-2023")</f>
        <v/>
      </c>
      <c r="T105">
        <f>HYPERLINK("https://klasma.github.io/Logging_NORRKOPING/kartor/A 26385-2023.png", "A 26385-2023")</f>
        <v/>
      </c>
      <c r="V105">
        <f>HYPERLINK("https://klasma.github.io/Logging_NORRKOPING/klagomål/A 26385-2023.docx", "A 26385-2023")</f>
        <v/>
      </c>
      <c r="W105">
        <f>HYPERLINK("https://klasma.github.io/Logging_NORRKOPING/klagomålsmail/A 26385-2023.docx", "A 26385-2023")</f>
        <v/>
      </c>
      <c r="X105">
        <f>HYPERLINK("https://klasma.github.io/Logging_NORRKOPING/tillsyn/A 26385-2023.docx", "A 26385-2023")</f>
        <v/>
      </c>
      <c r="Y105">
        <f>HYPERLINK("https://klasma.github.io/Logging_NORRKOPING/tillsynsmail/A 26385-2023.docx", "A 26385-2023")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45192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30472-2023.xlsx", "A 30472-2023")</f>
        <v/>
      </c>
      <c r="T106">
        <f>HYPERLINK("https://klasma.github.io/Logging_ATVIDABERG/kartor/A 30472-2023.png", "A 30472-2023")</f>
        <v/>
      </c>
      <c r="V106">
        <f>HYPERLINK("https://klasma.github.io/Logging_ATVIDABERG/klagomål/A 30472-2023.docx", "A 30472-2023")</f>
        <v/>
      </c>
      <c r="W106">
        <f>HYPERLINK("https://klasma.github.io/Logging_ATVIDABERG/klagomålsmail/A 30472-2023.docx", "A 30472-2023")</f>
        <v/>
      </c>
      <c r="X106">
        <f>HYPERLINK("https://klasma.github.io/Logging_ATVIDABERG/tillsyn/A 30472-2023.docx", "A 30472-2023")</f>
        <v/>
      </c>
      <c r="Y106">
        <f>HYPERLINK("https://klasma.github.io/Logging_ATVIDABERG/tillsynsmail/A 30472-2023.docx", "A 30472-2023")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45192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31652-2023.xlsx", "A 31652-2023")</f>
        <v/>
      </c>
      <c r="T107">
        <f>HYPERLINK("https://klasma.github.io/Logging_NORRKOPING/kartor/A 31652-2023.png", "A 31652-2023")</f>
        <v/>
      </c>
      <c r="V107">
        <f>HYPERLINK("https://klasma.github.io/Logging_NORRKOPING/klagomål/A 31652-2023.docx", "A 31652-2023")</f>
        <v/>
      </c>
      <c r="W107">
        <f>HYPERLINK("https://klasma.github.io/Logging_NORRKOPING/klagomålsmail/A 31652-2023.docx", "A 31652-2023")</f>
        <v/>
      </c>
      <c r="X107">
        <f>HYPERLINK("https://klasma.github.io/Logging_NORRKOPING/tillsyn/A 31652-2023.docx", "A 31652-2023")</f>
        <v/>
      </c>
      <c r="Y107">
        <f>HYPERLINK("https://klasma.github.io/Logging_NORRKOPING/tillsynsmail/A 31652-2023.docx", "A 31652-2023")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45192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34072-2018.xlsx", "A 34072-2018")</f>
        <v/>
      </c>
      <c r="T108">
        <f>HYPERLINK("https://klasma.github.io/Logging_KINDA/kartor/A 34072-2018.png", "A 34072-2018")</f>
        <v/>
      </c>
      <c r="V108">
        <f>HYPERLINK("https://klasma.github.io/Logging_KINDA/klagomål/A 34072-2018.docx", "A 34072-2018")</f>
        <v/>
      </c>
      <c r="W108">
        <f>HYPERLINK("https://klasma.github.io/Logging_KINDA/klagomålsmail/A 34072-2018.docx", "A 34072-2018")</f>
        <v/>
      </c>
      <c r="X108">
        <f>HYPERLINK("https://klasma.github.io/Logging_KINDA/tillsyn/A 34072-2018.docx", "A 34072-2018")</f>
        <v/>
      </c>
      <c r="Y108">
        <f>HYPERLINK("https://klasma.github.io/Logging_KINDA/tillsynsmail/A 34072-2018.docx", "A 34072-2018")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45192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48261-2018.xlsx", "A 48261-2018")</f>
        <v/>
      </c>
      <c r="T109">
        <f>HYPERLINK("https://klasma.github.io/Logging_ATVIDABERG/kartor/A 48261-2018.png", "A 48261-2018")</f>
        <v/>
      </c>
      <c r="V109">
        <f>HYPERLINK("https://klasma.github.io/Logging_ATVIDABERG/klagomål/A 48261-2018.docx", "A 48261-2018")</f>
        <v/>
      </c>
      <c r="W109">
        <f>HYPERLINK("https://klasma.github.io/Logging_ATVIDABERG/klagomålsmail/A 48261-2018.docx", "A 48261-2018")</f>
        <v/>
      </c>
      <c r="X109">
        <f>HYPERLINK("https://klasma.github.io/Logging_ATVIDABERG/tillsyn/A 48261-2018.docx", "A 48261-2018")</f>
        <v/>
      </c>
      <c r="Y109">
        <f>HYPERLINK("https://klasma.github.io/Logging_ATVIDABERG/tillsynsmail/A 48261-2018.docx", "A 48261-2018")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45192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49981-2018.xlsx", "A 49981-2018")</f>
        <v/>
      </c>
      <c r="T110">
        <f>HYPERLINK("https://klasma.github.io/Logging_ATVIDABERG/kartor/A 49981-2018.png", "A 49981-2018")</f>
        <v/>
      </c>
      <c r="V110">
        <f>HYPERLINK("https://klasma.github.io/Logging_ATVIDABERG/klagomål/A 49981-2018.docx", "A 49981-2018")</f>
        <v/>
      </c>
      <c r="W110">
        <f>HYPERLINK("https://klasma.github.io/Logging_ATVIDABERG/klagomålsmail/A 49981-2018.docx", "A 49981-2018")</f>
        <v/>
      </c>
      <c r="X110">
        <f>HYPERLINK("https://klasma.github.io/Logging_ATVIDABERG/tillsyn/A 49981-2018.docx", "A 49981-2018")</f>
        <v/>
      </c>
      <c r="Y110">
        <f>HYPERLINK("https://klasma.github.io/Logging_ATVIDABERG/tillsynsmail/A 49981-2018.docx", "A 49981-2018")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45192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54259-2018.xlsx", "A 54259-2018")</f>
        <v/>
      </c>
      <c r="T111">
        <f>HYPERLINK("https://klasma.github.io/Logging_ATVIDABERG/kartor/A 54259-2018.png", "A 54259-2018")</f>
        <v/>
      </c>
      <c r="V111">
        <f>HYPERLINK("https://klasma.github.io/Logging_ATVIDABERG/klagomål/A 54259-2018.docx", "A 54259-2018")</f>
        <v/>
      </c>
      <c r="W111">
        <f>HYPERLINK("https://klasma.github.io/Logging_ATVIDABERG/klagomålsmail/A 54259-2018.docx", "A 54259-2018")</f>
        <v/>
      </c>
      <c r="X111">
        <f>HYPERLINK("https://klasma.github.io/Logging_ATVIDABERG/tillsyn/A 54259-2018.docx", "A 54259-2018")</f>
        <v/>
      </c>
      <c r="Y111">
        <f>HYPERLINK("https://klasma.github.io/Logging_ATVIDABERG/tillsynsmail/A 54259-2018.docx", "A 54259-2018")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45192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57755-2018.xlsx", "A 57755-2018")</f>
        <v/>
      </c>
      <c r="T112">
        <f>HYPERLINK("https://klasma.github.io/Logging_YDRE/kartor/A 57755-2018.png", "A 57755-2018")</f>
        <v/>
      </c>
      <c r="V112">
        <f>HYPERLINK("https://klasma.github.io/Logging_YDRE/klagomål/A 57755-2018.docx", "A 57755-2018")</f>
        <v/>
      </c>
      <c r="W112">
        <f>HYPERLINK("https://klasma.github.io/Logging_YDRE/klagomålsmail/A 57755-2018.docx", "A 57755-2018")</f>
        <v/>
      </c>
      <c r="X112">
        <f>HYPERLINK("https://klasma.github.io/Logging_YDRE/tillsyn/A 57755-2018.docx", "A 57755-2018")</f>
        <v/>
      </c>
      <c r="Y112">
        <f>HYPERLINK("https://klasma.github.io/Logging_YDRE/tillsynsmail/A 57755-2018.docx", "A 57755-2018")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45192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61135-2018.xlsx", "A 61135-2018")</f>
        <v/>
      </c>
      <c r="T113">
        <f>HYPERLINK("https://klasma.github.io/Logging_LINKOPING/kartor/A 61135-2018.png", "A 61135-2018")</f>
        <v/>
      </c>
      <c r="V113">
        <f>HYPERLINK("https://klasma.github.io/Logging_LINKOPING/klagomål/A 61135-2018.docx", "A 61135-2018")</f>
        <v/>
      </c>
      <c r="W113">
        <f>HYPERLINK("https://klasma.github.io/Logging_LINKOPING/klagomålsmail/A 61135-2018.docx", "A 61135-2018")</f>
        <v/>
      </c>
      <c r="X113">
        <f>HYPERLINK("https://klasma.github.io/Logging_LINKOPING/tillsyn/A 61135-2018.docx", "A 61135-2018")</f>
        <v/>
      </c>
      <c r="Y113">
        <f>HYPERLINK("https://klasma.github.io/Logging_LINKOPING/tillsynsmail/A 61135-2018.docx", "A 61135-2018")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45192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12051-2019.xlsx", "A 12051-2019")</f>
        <v/>
      </c>
      <c r="T114">
        <f>HYPERLINK("https://klasma.github.io/Logging_LINKOPING/kartor/A 12051-2019.png", "A 12051-2019")</f>
        <v/>
      </c>
      <c r="V114">
        <f>HYPERLINK("https://klasma.github.io/Logging_LINKOPING/klagomål/A 12051-2019.docx", "A 12051-2019")</f>
        <v/>
      </c>
      <c r="W114">
        <f>HYPERLINK("https://klasma.github.io/Logging_LINKOPING/klagomålsmail/A 12051-2019.docx", "A 12051-2019")</f>
        <v/>
      </c>
      <c r="X114">
        <f>HYPERLINK("https://klasma.github.io/Logging_LINKOPING/tillsyn/A 12051-2019.docx", "A 12051-2019")</f>
        <v/>
      </c>
      <c r="Y114">
        <f>HYPERLINK("https://klasma.github.io/Logging_LINKOPING/tillsynsmail/A 12051-2019.docx", "A 12051-2019")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45192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27142-2019.xlsx", "A 27142-2019")</f>
        <v/>
      </c>
      <c r="T115">
        <f>HYPERLINK("https://klasma.github.io/Logging_SODERKOPING/kartor/A 27142-2019.png", "A 27142-2019")</f>
        <v/>
      </c>
      <c r="V115">
        <f>HYPERLINK("https://klasma.github.io/Logging_SODERKOPING/klagomål/A 27142-2019.docx", "A 27142-2019")</f>
        <v/>
      </c>
      <c r="W115">
        <f>HYPERLINK("https://klasma.github.io/Logging_SODERKOPING/klagomålsmail/A 27142-2019.docx", "A 27142-2019")</f>
        <v/>
      </c>
      <c r="X115">
        <f>HYPERLINK("https://klasma.github.io/Logging_SODERKOPING/tillsyn/A 27142-2019.docx", "A 27142-2019")</f>
        <v/>
      </c>
      <c r="Y115">
        <f>HYPERLINK("https://klasma.github.io/Logging_SODERKOPING/tillsynsmail/A 27142-2019.docx", "A 27142-2019")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45192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32282-2019.xlsx", "A 32282-2019")</f>
        <v/>
      </c>
      <c r="T116">
        <f>HYPERLINK("https://klasma.github.io/Logging_ATVIDABERG/kartor/A 32282-2019.png", "A 32282-2019")</f>
        <v/>
      </c>
      <c r="V116">
        <f>HYPERLINK("https://klasma.github.io/Logging_ATVIDABERG/klagomål/A 32282-2019.docx", "A 32282-2019")</f>
        <v/>
      </c>
      <c r="W116">
        <f>HYPERLINK("https://klasma.github.io/Logging_ATVIDABERG/klagomålsmail/A 32282-2019.docx", "A 32282-2019")</f>
        <v/>
      </c>
      <c r="X116">
        <f>HYPERLINK("https://klasma.github.io/Logging_ATVIDABERG/tillsyn/A 32282-2019.docx", "A 32282-2019")</f>
        <v/>
      </c>
      <c r="Y116">
        <f>HYPERLINK("https://klasma.github.io/Logging_ATVIDABERG/tillsynsmail/A 32282-2019.docx", "A 32282-2019")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45192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39326-2019.xlsx", "A 39326-2019")</f>
        <v/>
      </c>
      <c r="T117">
        <f>HYPERLINK("https://klasma.github.io/Logging_LINKOPING/kartor/A 39326-2019.png", "A 39326-2019")</f>
        <v/>
      </c>
      <c r="V117">
        <f>HYPERLINK("https://klasma.github.io/Logging_LINKOPING/klagomål/A 39326-2019.docx", "A 39326-2019")</f>
        <v/>
      </c>
      <c r="W117">
        <f>HYPERLINK("https://klasma.github.io/Logging_LINKOPING/klagomålsmail/A 39326-2019.docx", "A 39326-2019")</f>
        <v/>
      </c>
      <c r="X117">
        <f>HYPERLINK("https://klasma.github.io/Logging_LINKOPING/tillsyn/A 39326-2019.docx", "A 39326-2019")</f>
        <v/>
      </c>
      <c r="Y117">
        <f>HYPERLINK("https://klasma.github.io/Logging_LINKOPING/tillsynsmail/A 39326-2019.docx", "A 39326-2019")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45192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42654-2019.xlsx", "A 42654-2019")</f>
        <v/>
      </c>
      <c r="T118">
        <f>HYPERLINK("https://klasma.github.io/Logging_FINSPANG/kartor/A 42654-2019.png", "A 42654-2019")</f>
        <v/>
      </c>
      <c r="V118">
        <f>HYPERLINK("https://klasma.github.io/Logging_FINSPANG/klagomål/A 42654-2019.docx", "A 42654-2019")</f>
        <v/>
      </c>
      <c r="W118">
        <f>HYPERLINK("https://klasma.github.io/Logging_FINSPANG/klagomålsmail/A 42654-2019.docx", "A 42654-2019")</f>
        <v/>
      </c>
      <c r="X118">
        <f>HYPERLINK("https://klasma.github.io/Logging_FINSPANG/tillsyn/A 42654-2019.docx", "A 42654-2019")</f>
        <v/>
      </c>
      <c r="Y118">
        <f>HYPERLINK("https://klasma.github.io/Logging_FINSPANG/tillsynsmail/A 42654-2019.docx", "A 42654-2019")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45192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43487-2019.xlsx", "A 43487-2019")</f>
        <v/>
      </c>
      <c r="T119">
        <f>HYPERLINK("https://klasma.github.io/Logging_LINKOPING/kartor/A 43487-2019.png", "A 43487-2019")</f>
        <v/>
      </c>
      <c r="V119">
        <f>HYPERLINK("https://klasma.github.io/Logging_LINKOPING/klagomål/A 43487-2019.docx", "A 43487-2019")</f>
        <v/>
      </c>
      <c r="W119">
        <f>HYPERLINK("https://klasma.github.io/Logging_LINKOPING/klagomålsmail/A 43487-2019.docx", "A 43487-2019")</f>
        <v/>
      </c>
      <c r="X119">
        <f>HYPERLINK("https://klasma.github.io/Logging_LINKOPING/tillsyn/A 43487-2019.docx", "A 43487-2019")</f>
        <v/>
      </c>
      <c r="Y119">
        <f>HYPERLINK("https://klasma.github.io/Logging_LINKOPING/tillsynsmail/A 43487-2019.docx", "A 43487-2019")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45192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46200-2019.xlsx", "A 46200-2019")</f>
        <v/>
      </c>
      <c r="T120">
        <f>HYPERLINK("https://klasma.github.io/Logging_FINSPANG/kartor/A 46200-2019.png", "A 46200-2019")</f>
        <v/>
      </c>
      <c r="V120">
        <f>HYPERLINK("https://klasma.github.io/Logging_FINSPANG/klagomål/A 46200-2019.docx", "A 46200-2019")</f>
        <v/>
      </c>
      <c r="W120">
        <f>HYPERLINK("https://klasma.github.io/Logging_FINSPANG/klagomålsmail/A 46200-2019.docx", "A 46200-2019")</f>
        <v/>
      </c>
      <c r="X120">
        <f>HYPERLINK("https://klasma.github.io/Logging_FINSPANG/tillsyn/A 46200-2019.docx", "A 46200-2019")</f>
        <v/>
      </c>
      <c r="Y120">
        <f>HYPERLINK("https://klasma.github.io/Logging_FINSPANG/tillsynsmail/A 46200-2019.docx", "A 46200-2019")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45192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45531-2019.xlsx", "A 45531-2019")</f>
        <v/>
      </c>
      <c r="T121">
        <f>HYPERLINK("https://klasma.github.io/Logging_LINKOPING/kartor/A 45531-2019.png", "A 45531-2019")</f>
        <v/>
      </c>
      <c r="V121">
        <f>HYPERLINK("https://klasma.github.io/Logging_LINKOPING/klagomål/A 45531-2019.docx", "A 45531-2019")</f>
        <v/>
      </c>
      <c r="W121">
        <f>HYPERLINK("https://klasma.github.io/Logging_LINKOPING/klagomålsmail/A 45531-2019.docx", "A 45531-2019")</f>
        <v/>
      </c>
      <c r="X121">
        <f>HYPERLINK("https://klasma.github.io/Logging_LINKOPING/tillsyn/A 45531-2019.docx", "A 45531-2019")</f>
        <v/>
      </c>
      <c r="Y121">
        <f>HYPERLINK("https://klasma.github.io/Logging_LINKOPING/tillsynsmail/A 45531-2019.docx", "A 45531-2019")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45192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23893-2020.xlsx", "A 23893-2020")</f>
        <v/>
      </c>
      <c r="T122">
        <f>HYPERLINK("https://klasma.github.io/Logging_FINSPANG/kartor/A 23893-2020.png", "A 23893-2020")</f>
        <v/>
      </c>
      <c r="V122">
        <f>HYPERLINK("https://klasma.github.io/Logging_FINSPANG/klagomål/A 23893-2020.docx", "A 23893-2020")</f>
        <v/>
      </c>
      <c r="W122">
        <f>HYPERLINK("https://klasma.github.io/Logging_FINSPANG/klagomålsmail/A 23893-2020.docx", "A 23893-2020")</f>
        <v/>
      </c>
      <c r="X122">
        <f>HYPERLINK("https://klasma.github.io/Logging_FINSPANG/tillsyn/A 23893-2020.docx", "A 23893-2020")</f>
        <v/>
      </c>
      <c r="Y122">
        <f>HYPERLINK("https://klasma.github.io/Logging_FINSPANG/tillsynsmail/A 23893-2020.docx", "A 23893-2020")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45192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26562-2020.xlsx", "A 26562-2020")</f>
        <v/>
      </c>
      <c r="T123">
        <f>HYPERLINK("https://klasma.github.io/Logging_KINDA/kartor/A 26562-2020.png", "A 26562-2020")</f>
        <v/>
      </c>
      <c r="V123">
        <f>HYPERLINK("https://klasma.github.io/Logging_KINDA/klagomål/A 26562-2020.docx", "A 26562-2020")</f>
        <v/>
      </c>
      <c r="W123">
        <f>HYPERLINK("https://klasma.github.io/Logging_KINDA/klagomålsmail/A 26562-2020.docx", "A 26562-2020")</f>
        <v/>
      </c>
      <c r="X123">
        <f>HYPERLINK("https://klasma.github.io/Logging_KINDA/tillsyn/A 26562-2020.docx", "A 26562-2020")</f>
        <v/>
      </c>
      <c r="Y123">
        <f>HYPERLINK("https://klasma.github.io/Logging_KINDA/tillsynsmail/A 26562-2020.docx", "A 26562-2020")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45192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33435-2020.xlsx", "A 33435-2020")</f>
        <v/>
      </c>
      <c r="T124">
        <f>HYPERLINK("https://klasma.github.io/Logging_ODESHOG/kartor/A 33435-2020.png", "A 33435-2020")</f>
        <v/>
      </c>
      <c r="V124">
        <f>HYPERLINK("https://klasma.github.io/Logging_ODESHOG/klagomål/A 33435-2020.docx", "A 33435-2020")</f>
        <v/>
      </c>
      <c r="W124">
        <f>HYPERLINK("https://klasma.github.io/Logging_ODESHOG/klagomålsmail/A 33435-2020.docx", "A 33435-2020")</f>
        <v/>
      </c>
      <c r="X124">
        <f>HYPERLINK("https://klasma.github.io/Logging_ODESHOG/tillsyn/A 33435-2020.docx", "A 33435-2020")</f>
        <v/>
      </c>
      <c r="Y124">
        <f>HYPERLINK("https://klasma.github.io/Logging_ODESHOG/tillsynsmail/A 33435-2020.docx", "A 33435-2020")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45192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34220-2020.xlsx", "A 34220-2020")</f>
        <v/>
      </c>
      <c r="T125">
        <f>HYPERLINK("https://klasma.github.io/Logging_VALDEMARSVIK/kartor/A 34220-2020.png", "A 34220-2020")</f>
        <v/>
      </c>
      <c r="V125">
        <f>HYPERLINK("https://klasma.github.io/Logging_VALDEMARSVIK/klagomål/A 34220-2020.docx", "A 34220-2020")</f>
        <v/>
      </c>
      <c r="W125">
        <f>HYPERLINK("https://klasma.github.io/Logging_VALDEMARSVIK/klagomålsmail/A 34220-2020.docx", "A 34220-2020")</f>
        <v/>
      </c>
      <c r="X125">
        <f>HYPERLINK("https://klasma.github.io/Logging_VALDEMARSVIK/tillsyn/A 34220-2020.docx", "A 34220-2020")</f>
        <v/>
      </c>
      <c r="Y125">
        <f>HYPERLINK("https://klasma.github.io/Logging_VALDEMARSVIK/tillsynsmail/A 34220-2020.docx", "A 34220-2020")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45192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35484-2020.xlsx", "A 35484-2020")</f>
        <v/>
      </c>
      <c r="T126">
        <f>HYPERLINK("https://klasma.github.io/Logging_MJOLBY/kartor/A 35484-2020.png", "A 35484-2020")</f>
        <v/>
      </c>
      <c r="V126">
        <f>HYPERLINK("https://klasma.github.io/Logging_MJOLBY/klagomål/A 35484-2020.docx", "A 35484-2020")</f>
        <v/>
      </c>
      <c r="W126">
        <f>HYPERLINK("https://klasma.github.io/Logging_MJOLBY/klagomålsmail/A 35484-2020.docx", "A 35484-2020")</f>
        <v/>
      </c>
      <c r="X126">
        <f>HYPERLINK("https://klasma.github.io/Logging_MJOLBY/tillsyn/A 35484-2020.docx", "A 35484-2020")</f>
        <v/>
      </c>
      <c r="Y126">
        <f>HYPERLINK("https://klasma.github.io/Logging_MJOLBY/tillsynsmail/A 35484-2020.docx", "A 35484-2020")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45192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40291-2020.xlsx", "A 40291-2020")</f>
        <v/>
      </c>
      <c r="T127">
        <f>HYPERLINK("https://klasma.github.io/Logging_NORRKOPING/kartor/A 40291-2020.png", "A 40291-2020")</f>
        <v/>
      </c>
      <c r="V127">
        <f>HYPERLINK("https://klasma.github.io/Logging_NORRKOPING/klagomål/A 40291-2020.docx", "A 40291-2020")</f>
        <v/>
      </c>
      <c r="W127">
        <f>HYPERLINK("https://klasma.github.io/Logging_NORRKOPING/klagomålsmail/A 40291-2020.docx", "A 40291-2020")</f>
        <v/>
      </c>
      <c r="X127">
        <f>HYPERLINK("https://klasma.github.io/Logging_NORRKOPING/tillsyn/A 40291-2020.docx", "A 40291-2020")</f>
        <v/>
      </c>
      <c r="Y127">
        <f>HYPERLINK("https://klasma.github.io/Logging_NORRKOPING/tillsynsmail/A 40291-2020.docx", "A 40291-2020")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45192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9382-2021.xlsx", "A 9382-2021")</f>
        <v/>
      </c>
      <c r="T128">
        <f>HYPERLINK("https://klasma.github.io/Logging_ATVIDABERG/kartor/A 9382-2021.png", "A 9382-2021")</f>
        <v/>
      </c>
      <c r="U128">
        <f>HYPERLINK("https://klasma.github.io/Logging_ATVIDABERG/knärot/A 9382-2021.png", "A 9382-2021")</f>
        <v/>
      </c>
      <c r="V128">
        <f>HYPERLINK("https://klasma.github.io/Logging_ATVIDABERG/klagomål/A 9382-2021.docx", "A 9382-2021")</f>
        <v/>
      </c>
      <c r="W128">
        <f>HYPERLINK("https://klasma.github.io/Logging_ATVIDABERG/klagomålsmail/A 9382-2021.docx", "A 9382-2021")</f>
        <v/>
      </c>
      <c r="X128">
        <f>HYPERLINK("https://klasma.github.io/Logging_ATVIDABERG/tillsyn/A 9382-2021.docx", "A 9382-2021")</f>
        <v/>
      </c>
      <c r="Y128">
        <f>HYPERLINK("https://klasma.github.io/Logging_ATVIDABERG/tillsynsmail/A 9382-2021.docx", "A 9382-2021")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45192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16760-2021.xlsx", "A 16760-2021")</f>
        <v/>
      </c>
      <c r="T129">
        <f>HYPERLINK("https://klasma.github.io/Logging_LINKOPING/kartor/A 16760-2021.png", "A 16760-2021")</f>
        <v/>
      </c>
      <c r="V129">
        <f>HYPERLINK("https://klasma.github.io/Logging_LINKOPING/klagomål/A 16760-2021.docx", "A 16760-2021")</f>
        <v/>
      </c>
      <c r="W129">
        <f>HYPERLINK("https://klasma.github.io/Logging_LINKOPING/klagomålsmail/A 16760-2021.docx", "A 16760-2021")</f>
        <v/>
      </c>
      <c r="X129">
        <f>HYPERLINK("https://klasma.github.io/Logging_LINKOPING/tillsyn/A 16760-2021.docx", "A 16760-2021")</f>
        <v/>
      </c>
      <c r="Y129">
        <f>HYPERLINK("https://klasma.github.io/Logging_LINKOPING/tillsynsmail/A 16760-2021.docx", "A 16760-2021")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45192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18366-2021.xlsx", "A 18366-2021")</f>
        <v/>
      </c>
      <c r="T130">
        <f>HYPERLINK("https://klasma.github.io/Logging_FINSPANG/kartor/A 18366-2021.png", "A 18366-2021")</f>
        <v/>
      </c>
      <c r="V130">
        <f>HYPERLINK("https://klasma.github.io/Logging_FINSPANG/klagomål/A 18366-2021.docx", "A 18366-2021")</f>
        <v/>
      </c>
      <c r="W130">
        <f>HYPERLINK("https://klasma.github.io/Logging_FINSPANG/klagomålsmail/A 18366-2021.docx", "A 18366-2021")</f>
        <v/>
      </c>
      <c r="X130">
        <f>HYPERLINK("https://klasma.github.io/Logging_FINSPANG/tillsyn/A 18366-2021.docx", "A 18366-2021")</f>
        <v/>
      </c>
      <c r="Y130">
        <f>HYPERLINK("https://klasma.github.io/Logging_FINSPANG/tillsynsmail/A 18366-2021.docx", "A 18366-2021")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45192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30642-2021.xlsx", "A 30642-2021")</f>
        <v/>
      </c>
      <c r="T131">
        <f>HYPERLINK("https://klasma.github.io/Logging_MJOLBY/kartor/A 30642-2021.png", "A 30642-2021")</f>
        <v/>
      </c>
      <c r="V131">
        <f>HYPERLINK("https://klasma.github.io/Logging_MJOLBY/klagomål/A 30642-2021.docx", "A 30642-2021")</f>
        <v/>
      </c>
      <c r="W131">
        <f>HYPERLINK("https://klasma.github.io/Logging_MJOLBY/klagomålsmail/A 30642-2021.docx", "A 30642-2021")</f>
        <v/>
      </c>
      <c r="X131">
        <f>HYPERLINK("https://klasma.github.io/Logging_MJOLBY/tillsyn/A 30642-2021.docx", "A 30642-2021")</f>
        <v/>
      </c>
      <c r="Y131">
        <f>HYPERLINK("https://klasma.github.io/Logging_MJOLBY/tillsynsmail/A 30642-2021.docx", "A 30642-2021")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45192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40493-2021.xlsx", "A 40493-2021")</f>
        <v/>
      </c>
      <c r="T132">
        <f>HYPERLINK("https://klasma.github.io/Logging_ODESHOG/kartor/A 40493-2021.png", "A 40493-2021")</f>
        <v/>
      </c>
      <c r="U132">
        <f>HYPERLINK("https://klasma.github.io/Logging_ODESHOG/knärot/A 40493-2021.png", "A 40493-2021")</f>
        <v/>
      </c>
      <c r="V132">
        <f>HYPERLINK("https://klasma.github.io/Logging_ODESHOG/klagomål/A 40493-2021.docx", "A 40493-2021")</f>
        <v/>
      </c>
      <c r="W132">
        <f>HYPERLINK("https://klasma.github.io/Logging_ODESHOG/klagomålsmail/A 40493-2021.docx", "A 40493-2021")</f>
        <v/>
      </c>
      <c r="X132">
        <f>HYPERLINK("https://klasma.github.io/Logging_ODESHOG/tillsyn/A 40493-2021.docx", "A 40493-2021")</f>
        <v/>
      </c>
      <c r="Y132">
        <f>HYPERLINK("https://klasma.github.io/Logging_ODESHOG/tillsynsmail/A 40493-2021.docx", "A 40493-2021")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45192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49366-2021.xlsx", "A 49366-2021")</f>
        <v/>
      </c>
      <c r="T133">
        <f>HYPERLINK("https://klasma.github.io/Logging_NORRKOPING/kartor/A 49366-2021.png", "A 49366-2021")</f>
        <v/>
      </c>
      <c r="U133">
        <f>HYPERLINK("https://klasma.github.io/Logging_NORRKOPING/knärot/A 49366-2021.png", "A 49366-2021")</f>
        <v/>
      </c>
      <c r="V133">
        <f>HYPERLINK("https://klasma.github.io/Logging_NORRKOPING/klagomål/A 49366-2021.docx", "A 49366-2021")</f>
        <v/>
      </c>
      <c r="W133">
        <f>HYPERLINK("https://klasma.github.io/Logging_NORRKOPING/klagomålsmail/A 49366-2021.docx", "A 49366-2021")</f>
        <v/>
      </c>
      <c r="X133">
        <f>HYPERLINK("https://klasma.github.io/Logging_NORRKOPING/tillsyn/A 49366-2021.docx", "A 49366-2021")</f>
        <v/>
      </c>
      <c r="Y133">
        <f>HYPERLINK("https://klasma.github.io/Logging_NORRKOPING/tillsynsmail/A 49366-2021.docx", "A 49366-2021")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45192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56243-2021.xlsx", "A 56243-2021")</f>
        <v/>
      </c>
      <c r="T134">
        <f>HYPERLINK("https://klasma.github.io/Logging_KINDA/kartor/A 56243-2021.png", "A 56243-2021")</f>
        <v/>
      </c>
      <c r="V134">
        <f>HYPERLINK("https://klasma.github.io/Logging_KINDA/klagomål/A 56243-2021.docx", "A 56243-2021")</f>
        <v/>
      </c>
      <c r="W134">
        <f>HYPERLINK("https://klasma.github.io/Logging_KINDA/klagomålsmail/A 56243-2021.docx", "A 56243-2021")</f>
        <v/>
      </c>
      <c r="X134">
        <f>HYPERLINK("https://klasma.github.io/Logging_KINDA/tillsyn/A 56243-2021.docx", "A 56243-2021")</f>
        <v/>
      </c>
      <c r="Y134">
        <f>HYPERLINK("https://klasma.github.io/Logging_KINDA/tillsynsmail/A 56243-2021.docx", "A 56243-2021")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45192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58068-2021.xlsx", "A 58068-2021")</f>
        <v/>
      </c>
      <c r="T135">
        <f>HYPERLINK("https://klasma.github.io/Logging_LINKOPING/kartor/A 58068-2021.png", "A 58068-2021")</f>
        <v/>
      </c>
      <c r="V135">
        <f>HYPERLINK("https://klasma.github.io/Logging_LINKOPING/klagomål/A 58068-2021.docx", "A 58068-2021")</f>
        <v/>
      </c>
      <c r="W135">
        <f>HYPERLINK("https://klasma.github.io/Logging_LINKOPING/klagomålsmail/A 58068-2021.docx", "A 58068-2021")</f>
        <v/>
      </c>
      <c r="X135">
        <f>HYPERLINK("https://klasma.github.io/Logging_LINKOPING/tillsyn/A 58068-2021.docx", "A 58068-2021")</f>
        <v/>
      </c>
      <c r="Y135">
        <f>HYPERLINK("https://klasma.github.io/Logging_LINKOPING/tillsynsmail/A 58068-2021.docx", "A 58068-2021")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45192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71028-2021.xlsx", "A 71028-2021")</f>
        <v/>
      </c>
      <c r="T136">
        <f>HYPERLINK("https://klasma.github.io/Logging_BOXHOLM/kartor/A 71028-2021.png", "A 71028-2021")</f>
        <v/>
      </c>
      <c r="V136">
        <f>HYPERLINK("https://klasma.github.io/Logging_BOXHOLM/klagomål/A 71028-2021.docx", "A 71028-2021")</f>
        <v/>
      </c>
      <c r="W136">
        <f>HYPERLINK("https://klasma.github.io/Logging_BOXHOLM/klagomålsmail/A 71028-2021.docx", "A 71028-2021")</f>
        <v/>
      </c>
      <c r="X136">
        <f>HYPERLINK("https://klasma.github.io/Logging_BOXHOLM/tillsyn/A 71028-2021.docx", "A 71028-2021")</f>
        <v/>
      </c>
      <c r="Y136">
        <f>HYPERLINK("https://klasma.github.io/Logging_BOXHOLM/tillsynsmail/A 71028-2021.docx", "A 71028-2021")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45192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11501-2022.xlsx", "A 11501-2022")</f>
        <v/>
      </c>
      <c r="T137">
        <f>HYPERLINK("https://klasma.github.io/Logging_ATVIDABERG/kartor/A 11501-2022.png", "A 11501-2022")</f>
        <v/>
      </c>
      <c r="V137">
        <f>HYPERLINK("https://klasma.github.io/Logging_ATVIDABERG/klagomål/A 11501-2022.docx", "A 11501-2022")</f>
        <v/>
      </c>
      <c r="W137">
        <f>HYPERLINK("https://klasma.github.io/Logging_ATVIDABERG/klagomålsmail/A 11501-2022.docx", "A 11501-2022")</f>
        <v/>
      </c>
      <c r="X137">
        <f>HYPERLINK("https://klasma.github.io/Logging_ATVIDABERG/tillsyn/A 11501-2022.docx", "A 11501-2022")</f>
        <v/>
      </c>
      <c r="Y137">
        <f>HYPERLINK("https://klasma.github.io/Logging_ATVIDABERG/tillsynsmail/A 11501-2022.docx", "A 11501-2022")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45192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17520-2022.xlsx", "A 17520-2022")</f>
        <v/>
      </c>
      <c r="T138">
        <f>HYPERLINK("https://klasma.github.io/Logging_LINKOPING/kartor/A 17520-2022.png", "A 17520-2022")</f>
        <v/>
      </c>
      <c r="V138">
        <f>HYPERLINK("https://klasma.github.io/Logging_LINKOPING/klagomål/A 17520-2022.docx", "A 17520-2022")</f>
        <v/>
      </c>
      <c r="W138">
        <f>HYPERLINK("https://klasma.github.io/Logging_LINKOPING/klagomålsmail/A 17520-2022.docx", "A 17520-2022")</f>
        <v/>
      </c>
      <c r="X138">
        <f>HYPERLINK("https://klasma.github.io/Logging_LINKOPING/tillsyn/A 17520-2022.docx", "A 17520-2022")</f>
        <v/>
      </c>
      <c r="Y138">
        <f>HYPERLINK("https://klasma.github.io/Logging_LINKOPING/tillsynsmail/A 17520-2022.docx", "A 17520-2022")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45192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25498-2022.xlsx", "A 25498-2022")</f>
        <v/>
      </c>
      <c r="T139">
        <f>HYPERLINK("https://klasma.github.io/Logging_YDRE/kartor/A 25498-2022.png", "A 25498-2022")</f>
        <v/>
      </c>
      <c r="V139">
        <f>HYPERLINK("https://klasma.github.io/Logging_YDRE/klagomål/A 25498-2022.docx", "A 25498-2022")</f>
        <v/>
      </c>
      <c r="W139">
        <f>HYPERLINK("https://klasma.github.io/Logging_YDRE/klagomålsmail/A 25498-2022.docx", "A 25498-2022")</f>
        <v/>
      </c>
      <c r="X139">
        <f>HYPERLINK("https://klasma.github.io/Logging_YDRE/tillsyn/A 25498-2022.docx", "A 25498-2022")</f>
        <v/>
      </c>
      <c r="Y139">
        <f>HYPERLINK("https://klasma.github.io/Logging_YDRE/tillsynsmail/A 25498-2022.docx", "A 25498-2022")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45192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27981-2022.xlsx", "A 27981-2022")</f>
        <v/>
      </c>
      <c r="T140">
        <f>HYPERLINK("https://klasma.github.io/Logging_LINKOPING/kartor/A 27981-2022.png", "A 27981-2022")</f>
        <v/>
      </c>
      <c r="V140">
        <f>HYPERLINK("https://klasma.github.io/Logging_LINKOPING/klagomål/A 27981-2022.docx", "A 27981-2022")</f>
        <v/>
      </c>
      <c r="W140">
        <f>HYPERLINK("https://klasma.github.io/Logging_LINKOPING/klagomålsmail/A 27981-2022.docx", "A 27981-2022")</f>
        <v/>
      </c>
      <c r="X140">
        <f>HYPERLINK("https://klasma.github.io/Logging_LINKOPING/tillsyn/A 27981-2022.docx", "A 27981-2022")</f>
        <v/>
      </c>
      <c r="Y140">
        <f>HYPERLINK("https://klasma.github.io/Logging_LINKOPING/tillsynsmail/A 27981-2022.docx", "A 27981-2022")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45192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28308-2022.xlsx", "A 28308-2022")</f>
        <v/>
      </c>
      <c r="T141">
        <f>HYPERLINK("https://klasma.github.io/Logging_BOXHOLM/kartor/A 28308-2022.png", "A 28308-2022")</f>
        <v/>
      </c>
      <c r="V141">
        <f>HYPERLINK("https://klasma.github.io/Logging_BOXHOLM/klagomål/A 28308-2022.docx", "A 28308-2022")</f>
        <v/>
      </c>
      <c r="W141">
        <f>HYPERLINK("https://klasma.github.io/Logging_BOXHOLM/klagomålsmail/A 28308-2022.docx", "A 28308-2022")</f>
        <v/>
      </c>
      <c r="X141">
        <f>HYPERLINK("https://klasma.github.io/Logging_BOXHOLM/tillsyn/A 28308-2022.docx", "A 28308-2022")</f>
        <v/>
      </c>
      <c r="Y141">
        <f>HYPERLINK("https://klasma.github.io/Logging_BOXHOLM/tillsynsmail/A 28308-2022.docx", "A 28308-2022")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45192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31894-2022.xlsx", "A 31894-2022")</f>
        <v/>
      </c>
      <c r="T142">
        <f>HYPERLINK("https://klasma.github.io/Logging_FINSPANG/kartor/A 31894-2022.png", "A 31894-2022")</f>
        <v/>
      </c>
      <c r="V142">
        <f>HYPERLINK("https://klasma.github.io/Logging_FINSPANG/klagomål/A 31894-2022.docx", "A 31894-2022")</f>
        <v/>
      </c>
      <c r="W142">
        <f>HYPERLINK("https://klasma.github.io/Logging_FINSPANG/klagomålsmail/A 31894-2022.docx", "A 31894-2022")</f>
        <v/>
      </c>
      <c r="X142">
        <f>HYPERLINK("https://klasma.github.io/Logging_FINSPANG/tillsyn/A 31894-2022.docx", "A 31894-2022")</f>
        <v/>
      </c>
      <c r="Y142">
        <f>HYPERLINK("https://klasma.github.io/Logging_FINSPANG/tillsynsmail/A 31894-2022.docx", "A 31894-2022")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45192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32026-2022.xlsx", "A 32026-2022")</f>
        <v/>
      </c>
      <c r="T143">
        <f>HYPERLINK("https://klasma.github.io/Logging_FINSPANG/kartor/A 32026-2022.png", "A 32026-2022")</f>
        <v/>
      </c>
      <c r="V143">
        <f>HYPERLINK("https://klasma.github.io/Logging_FINSPANG/klagomål/A 32026-2022.docx", "A 32026-2022")</f>
        <v/>
      </c>
      <c r="W143">
        <f>HYPERLINK("https://klasma.github.io/Logging_FINSPANG/klagomålsmail/A 32026-2022.docx", "A 32026-2022")</f>
        <v/>
      </c>
      <c r="X143">
        <f>HYPERLINK("https://klasma.github.io/Logging_FINSPANG/tillsyn/A 32026-2022.docx", "A 32026-2022")</f>
        <v/>
      </c>
      <c r="Y143">
        <f>HYPERLINK("https://klasma.github.io/Logging_FINSPANG/tillsynsmail/A 32026-2022.docx", "A 32026-2022")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45192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33659-2022.xlsx", "A 33659-2022")</f>
        <v/>
      </c>
      <c r="T144">
        <f>HYPERLINK("https://klasma.github.io/Logging_NORRKOPING/kartor/A 33659-2022.png", "A 33659-2022")</f>
        <v/>
      </c>
      <c r="V144">
        <f>HYPERLINK("https://klasma.github.io/Logging_NORRKOPING/klagomål/A 33659-2022.docx", "A 33659-2022")</f>
        <v/>
      </c>
      <c r="W144">
        <f>HYPERLINK("https://klasma.github.io/Logging_NORRKOPING/klagomålsmail/A 33659-2022.docx", "A 33659-2022")</f>
        <v/>
      </c>
      <c r="X144">
        <f>HYPERLINK("https://klasma.github.io/Logging_NORRKOPING/tillsyn/A 33659-2022.docx", "A 33659-2022")</f>
        <v/>
      </c>
      <c r="Y144">
        <f>HYPERLINK("https://klasma.github.io/Logging_NORRKOPING/tillsynsmail/A 33659-2022.docx", "A 33659-2022")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45192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53205-2022.xlsx", "A 53205-2022")</f>
        <v/>
      </c>
      <c r="T145">
        <f>HYPERLINK("https://klasma.github.io/Logging_ATVIDABERG/kartor/A 53205-2022.png", "A 53205-2022")</f>
        <v/>
      </c>
      <c r="V145">
        <f>HYPERLINK("https://klasma.github.io/Logging_ATVIDABERG/klagomål/A 53205-2022.docx", "A 53205-2022")</f>
        <v/>
      </c>
      <c r="W145">
        <f>HYPERLINK("https://klasma.github.io/Logging_ATVIDABERG/klagomålsmail/A 53205-2022.docx", "A 53205-2022")</f>
        <v/>
      </c>
      <c r="X145">
        <f>HYPERLINK("https://klasma.github.io/Logging_ATVIDABERG/tillsyn/A 53205-2022.docx", "A 53205-2022")</f>
        <v/>
      </c>
      <c r="Y145">
        <f>HYPERLINK("https://klasma.github.io/Logging_ATVIDABERG/tillsynsmail/A 53205-2022.docx", "A 53205-2022")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45192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61358-2022.xlsx", "A 61358-2022")</f>
        <v/>
      </c>
      <c r="T146">
        <f>HYPERLINK("https://klasma.github.io/Logging_VALDEMARSVIK/kartor/A 61358-2022.png", "A 61358-2022")</f>
        <v/>
      </c>
      <c r="U146">
        <f>HYPERLINK("https://klasma.github.io/Logging_VALDEMARSVIK/knärot/A 61358-2022.png", "A 61358-2022")</f>
        <v/>
      </c>
      <c r="V146">
        <f>HYPERLINK("https://klasma.github.io/Logging_VALDEMARSVIK/klagomål/A 61358-2022.docx", "A 61358-2022")</f>
        <v/>
      </c>
      <c r="W146">
        <f>HYPERLINK("https://klasma.github.io/Logging_VALDEMARSVIK/klagomålsmail/A 61358-2022.docx", "A 61358-2022")</f>
        <v/>
      </c>
      <c r="X146">
        <f>HYPERLINK("https://klasma.github.io/Logging_VALDEMARSVIK/tillsyn/A 61358-2022.docx", "A 61358-2022")</f>
        <v/>
      </c>
      <c r="Y146">
        <f>HYPERLINK("https://klasma.github.io/Logging_VALDEMARSVIK/tillsynsmail/A 61358-2022.docx", "A 61358-2022")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45192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1083-2023.xlsx", "A 1083-2023")</f>
        <v/>
      </c>
      <c r="T147">
        <f>HYPERLINK("https://klasma.github.io/Logging_NORRKOPING/kartor/A 1083-2023.png", "A 1083-2023")</f>
        <v/>
      </c>
      <c r="U147">
        <f>HYPERLINK("https://klasma.github.io/Logging_NORRKOPING/knärot/A 1083-2023.png", "A 1083-2023")</f>
        <v/>
      </c>
      <c r="V147">
        <f>HYPERLINK("https://klasma.github.io/Logging_NORRKOPING/klagomål/A 1083-2023.docx", "A 1083-2023")</f>
        <v/>
      </c>
      <c r="W147">
        <f>HYPERLINK("https://klasma.github.io/Logging_NORRKOPING/klagomålsmail/A 1083-2023.docx", "A 1083-2023")</f>
        <v/>
      </c>
      <c r="X147">
        <f>HYPERLINK("https://klasma.github.io/Logging_NORRKOPING/tillsyn/A 1083-2023.docx", "A 1083-2023")</f>
        <v/>
      </c>
      <c r="Y147">
        <f>HYPERLINK("https://klasma.github.io/Logging_NORRKOPING/tillsynsmail/A 1083-2023.docx", "A 1083-2023")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45192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3721-2023.xlsx", "A 3721-2023")</f>
        <v/>
      </c>
      <c r="T148">
        <f>HYPERLINK("https://klasma.github.io/Logging_MOTALA/kartor/A 3721-2023.png", "A 3721-2023")</f>
        <v/>
      </c>
      <c r="U148">
        <f>HYPERLINK("https://klasma.github.io/Logging_MOTALA/knärot/A 3721-2023.png", "A 3721-2023")</f>
        <v/>
      </c>
      <c r="V148">
        <f>HYPERLINK("https://klasma.github.io/Logging_MOTALA/klagomål/A 3721-2023.docx", "A 3721-2023")</f>
        <v/>
      </c>
      <c r="W148">
        <f>HYPERLINK("https://klasma.github.io/Logging_MOTALA/klagomålsmail/A 3721-2023.docx", "A 3721-2023")</f>
        <v/>
      </c>
      <c r="X148">
        <f>HYPERLINK("https://klasma.github.io/Logging_MOTALA/tillsyn/A 3721-2023.docx", "A 3721-2023")</f>
        <v/>
      </c>
      <c r="Y148">
        <f>HYPERLINK("https://klasma.github.io/Logging_MOTALA/tillsynsmail/A 3721-2023.docx", "A 3721-2023")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45192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4512-2023.xlsx", "A 4512-2023")</f>
        <v/>
      </c>
      <c r="T149">
        <f>HYPERLINK("https://klasma.github.io/Logging_MOTALA/kartor/A 4512-2023.png", "A 4512-2023")</f>
        <v/>
      </c>
      <c r="V149">
        <f>HYPERLINK("https://klasma.github.io/Logging_MOTALA/klagomål/A 4512-2023.docx", "A 4512-2023")</f>
        <v/>
      </c>
      <c r="W149">
        <f>HYPERLINK("https://klasma.github.io/Logging_MOTALA/klagomålsmail/A 4512-2023.docx", "A 4512-2023")</f>
        <v/>
      </c>
      <c r="X149">
        <f>HYPERLINK("https://klasma.github.io/Logging_MOTALA/tillsyn/A 4512-2023.docx", "A 4512-2023")</f>
        <v/>
      </c>
      <c r="Y149">
        <f>HYPERLINK("https://klasma.github.io/Logging_MOTALA/tillsynsmail/A 4512-2023.docx", "A 4512-2023")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45192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7211-2023.xlsx", "A 7211-2023")</f>
        <v/>
      </c>
      <c r="T150">
        <f>HYPERLINK("https://klasma.github.io/Logging_NORRKOPING/kartor/A 7211-2023.png", "A 7211-2023")</f>
        <v/>
      </c>
      <c r="V150">
        <f>HYPERLINK("https://klasma.github.io/Logging_NORRKOPING/klagomål/A 7211-2023.docx", "A 7211-2023")</f>
        <v/>
      </c>
      <c r="W150">
        <f>HYPERLINK("https://klasma.github.io/Logging_NORRKOPING/klagomålsmail/A 7211-2023.docx", "A 7211-2023")</f>
        <v/>
      </c>
      <c r="X150">
        <f>HYPERLINK("https://klasma.github.io/Logging_NORRKOPING/tillsyn/A 7211-2023.docx", "A 7211-2023")</f>
        <v/>
      </c>
      <c r="Y150">
        <f>HYPERLINK("https://klasma.github.io/Logging_NORRKOPING/tillsynsmail/A 7211-2023.docx", "A 7211-2023")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45192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7879-2023.xlsx", "A 7879-2023")</f>
        <v/>
      </c>
      <c r="T151">
        <f>HYPERLINK("https://klasma.github.io/Logging_SODERKOPING/kartor/A 7879-2023.png", "A 7879-2023")</f>
        <v/>
      </c>
      <c r="V151">
        <f>HYPERLINK("https://klasma.github.io/Logging_SODERKOPING/klagomål/A 7879-2023.docx", "A 7879-2023")</f>
        <v/>
      </c>
      <c r="W151">
        <f>HYPERLINK("https://klasma.github.io/Logging_SODERKOPING/klagomålsmail/A 7879-2023.docx", "A 7879-2023")</f>
        <v/>
      </c>
      <c r="X151">
        <f>HYPERLINK("https://klasma.github.io/Logging_SODERKOPING/tillsyn/A 7879-2023.docx", "A 7879-2023")</f>
        <v/>
      </c>
      <c r="Y151">
        <f>HYPERLINK("https://klasma.github.io/Logging_SODERKOPING/tillsynsmail/A 7879-2023.docx", "A 7879-2023")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45192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11362-2023.xlsx", "A 11362-2023")</f>
        <v/>
      </c>
      <c r="T152">
        <f>HYPERLINK("https://klasma.github.io/Logging_LINKOPING/kartor/A 11362-2023.png", "A 11362-2023")</f>
        <v/>
      </c>
      <c r="V152">
        <f>HYPERLINK("https://klasma.github.io/Logging_LINKOPING/klagomål/A 11362-2023.docx", "A 11362-2023")</f>
        <v/>
      </c>
      <c r="W152">
        <f>HYPERLINK("https://klasma.github.io/Logging_LINKOPING/klagomålsmail/A 11362-2023.docx", "A 11362-2023")</f>
        <v/>
      </c>
      <c r="X152">
        <f>HYPERLINK("https://klasma.github.io/Logging_LINKOPING/tillsyn/A 11362-2023.docx", "A 11362-2023")</f>
        <v/>
      </c>
      <c r="Y152">
        <f>HYPERLINK("https://klasma.github.io/Logging_LINKOPING/tillsynsmail/A 11362-2023.docx", "A 11362-2023")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45192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18075-2023.xlsx", "A 18075-2023")</f>
        <v/>
      </c>
      <c r="T153">
        <f>HYPERLINK("https://klasma.github.io/Logging_FINSPANG/kartor/A 18075-2023.png", "A 18075-2023")</f>
        <v/>
      </c>
      <c r="V153">
        <f>HYPERLINK("https://klasma.github.io/Logging_FINSPANG/klagomål/A 18075-2023.docx", "A 18075-2023")</f>
        <v/>
      </c>
      <c r="W153">
        <f>HYPERLINK("https://klasma.github.io/Logging_FINSPANG/klagomålsmail/A 18075-2023.docx", "A 18075-2023")</f>
        <v/>
      </c>
      <c r="X153">
        <f>HYPERLINK("https://klasma.github.io/Logging_FINSPANG/tillsyn/A 18075-2023.docx", "A 18075-2023")</f>
        <v/>
      </c>
      <c r="Y153">
        <f>HYPERLINK("https://klasma.github.io/Logging_FINSPANG/tillsynsmail/A 18075-2023.docx", "A 18075-2023")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45192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18491-2023.xlsx", "A 18491-2023")</f>
        <v/>
      </c>
      <c r="T154">
        <f>HYPERLINK("https://klasma.github.io/Logging_NORRKOPING/kartor/A 18491-2023.png", "A 18491-2023")</f>
        <v/>
      </c>
      <c r="V154">
        <f>HYPERLINK("https://klasma.github.io/Logging_NORRKOPING/klagomål/A 18491-2023.docx", "A 18491-2023")</f>
        <v/>
      </c>
      <c r="W154">
        <f>HYPERLINK("https://klasma.github.io/Logging_NORRKOPING/klagomålsmail/A 18491-2023.docx", "A 18491-2023")</f>
        <v/>
      </c>
      <c r="X154">
        <f>HYPERLINK("https://klasma.github.io/Logging_NORRKOPING/tillsyn/A 18491-2023.docx", "A 18491-2023")</f>
        <v/>
      </c>
      <c r="Y154">
        <f>HYPERLINK("https://klasma.github.io/Logging_NORRKOPING/tillsynsmail/A 18491-2023.docx", "A 18491-2023")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45192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18894-2023.xlsx", "A 18894-2023")</f>
        <v/>
      </c>
      <c r="T155">
        <f>HYPERLINK("https://klasma.github.io/Logging_MOTALA/kartor/A 18894-2023.png", "A 18894-2023")</f>
        <v/>
      </c>
      <c r="V155">
        <f>HYPERLINK("https://klasma.github.io/Logging_MOTALA/klagomål/A 18894-2023.docx", "A 18894-2023")</f>
        <v/>
      </c>
      <c r="W155">
        <f>HYPERLINK("https://klasma.github.io/Logging_MOTALA/klagomålsmail/A 18894-2023.docx", "A 18894-2023")</f>
        <v/>
      </c>
      <c r="X155">
        <f>HYPERLINK("https://klasma.github.io/Logging_MOTALA/tillsyn/A 18894-2023.docx", "A 18894-2023")</f>
        <v/>
      </c>
      <c r="Y155">
        <f>HYPERLINK("https://klasma.github.io/Logging_MOTALA/tillsynsmail/A 18894-2023.docx", "A 18894-2023")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45192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26888-2023.xlsx", "A 26888-2023")</f>
        <v/>
      </c>
      <c r="T156">
        <f>HYPERLINK("https://klasma.github.io/Logging_FINSPANG/kartor/A 26888-2023.png", "A 26888-2023")</f>
        <v/>
      </c>
      <c r="V156">
        <f>HYPERLINK("https://klasma.github.io/Logging_FINSPANG/klagomål/A 26888-2023.docx", "A 26888-2023")</f>
        <v/>
      </c>
      <c r="W156">
        <f>HYPERLINK("https://klasma.github.io/Logging_FINSPANG/klagomålsmail/A 26888-2023.docx", "A 26888-2023")</f>
        <v/>
      </c>
      <c r="X156">
        <f>HYPERLINK("https://klasma.github.io/Logging_FINSPANG/tillsyn/A 26888-2023.docx", "A 26888-2023")</f>
        <v/>
      </c>
      <c r="Y156">
        <f>HYPERLINK("https://klasma.github.io/Logging_FINSPANG/tillsynsmail/A 26888-2023.docx", "A 26888-2023")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45192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33570-2023.xlsx", "A 33570-2023")</f>
        <v/>
      </c>
      <c r="T157">
        <f>HYPERLINK("https://klasma.github.io/Logging_ATVIDABERG/kartor/A 33570-2023.png", "A 33570-2023")</f>
        <v/>
      </c>
      <c r="V157">
        <f>HYPERLINK("https://klasma.github.io/Logging_ATVIDABERG/klagomål/A 33570-2023.docx", "A 33570-2023")</f>
        <v/>
      </c>
      <c r="W157">
        <f>HYPERLINK("https://klasma.github.io/Logging_ATVIDABERG/klagomålsmail/A 33570-2023.docx", "A 33570-2023")</f>
        <v/>
      </c>
      <c r="X157">
        <f>HYPERLINK("https://klasma.github.io/Logging_ATVIDABERG/tillsyn/A 33570-2023.docx", "A 33570-2023")</f>
        <v/>
      </c>
      <c r="Y157">
        <f>HYPERLINK("https://klasma.github.io/Logging_ATVIDABERG/tillsynsmail/A 33570-2023.docx", "A 33570-2023")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45192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34179-2023.xlsx", "A 34179-2023")</f>
        <v/>
      </c>
      <c r="T158">
        <f>HYPERLINK("https://klasma.github.io/Logging_YDRE/kartor/A 34179-2023.png", "A 34179-2023")</f>
        <v/>
      </c>
      <c r="V158">
        <f>HYPERLINK("https://klasma.github.io/Logging_YDRE/klagomål/A 34179-2023.docx", "A 34179-2023")</f>
        <v/>
      </c>
      <c r="W158">
        <f>HYPERLINK("https://klasma.github.io/Logging_YDRE/klagomålsmail/A 34179-2023.docx", "A 34179-2023")</f>
        <v/>
      </c>
      <c r="X158">
        <f>HYPERLINK("https://klasma.github.io/Logging_YDRE/tillsyn/A 34179-2023.docx", "A 34179-2023")</f>
        <v/>
      </c>
      <c r="Y158">
        <f>HYPERLINK("https://klasma.github.io/Logging_YDRE/tillsynsmail/A 34179-2023.docx", "A 34179-2023")</f>
        <v/>
      </c>
    </row>
    <row r="159" ht="15" customHeight="1">
      <c r="A159" t="inlineStr">
        <is>
          <t>A 35779-2023</t>
        </is>
      </c>
      <c r="B159" s="1" t="n">
        <v>45148</v>
      </c>
      <c r="C159" s="1" t="n">
        <v>45192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3.5</v>
      </c>
      <c r="H159" t="n">
        <v>2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Blåsippa</t>
        </is>
      </c>
      <c r="S159">
        <f>HYPERLINK("https://klasma.github.io/Logging_NORRKOPING/artfynd/A 35779-2023.xlsx", "A 35779-2023")</f>
        <v/>
      </c>
      <c r="T159">
        <f>HYPERLINK("https://klasma.github.io/Logging_NORRKOPING/kartor/A 35779-2023.png", "A 35779-2023")</f>
        <v/>
      </c>
      <c r="U159">
        <f>HYPERLINK("https://klasma.github.io/Logging_NORRKOPING/knärot/A 35779-2023.png", "A 35779-2023")</f>
        <v/>
      </c>
      <c r="V159">
        <f>HYPERLINK("https://klasma.github.io/Logging_NORRKOPING/klagomål/A 35779-2023.docx", "A 35779-2023")</f>
        <v/>
      </c>
      <c r="W159">
        <f>HYPERLINK("https://klasma.github.io/Logging_NORRKOPING/klagomålsmail/A 35779-2023.docx", "A 35779-2023")</f>
        <v/>
      </c>
      <c r="X159">
        <f>HYPERLINK("https://klasma.github.io/Logging_NORRKOPING/tillsyn/A 35779-2023.docx", "A 35779-2023")</f>
        <v/>
      </c>
      <c r="Y159">
        <f>HYPERLINK("https://klasma.github.io/Logging_NORRKOPING/tillsynsmail/A 35779-2023.docx", "A 35779-2023")</f>
        <v/>
      </c>
    </row>
    <row r="160" ht="15" customHeight="1">
      <c r="A160" t="inlineStr">
        <is>
          <t>A 38988-2023</t>
        </is>
      </c>
      <c r="B160" s="1" t="n">
        <v>45163</v>
      </c>
      <c r="C160" s="1" t="n">
        <v>45192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0.8</v>
      </c>
      <c r="H160" t="n">
        <v>2</v>
      </c>
      <c r="I160" t="n">
        <v>1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Svartvit flugsnappare
Korallrot</t>
        </is>
      </c>
      <c r="S160">
        <f>HYPERLINK("https://klasma.github.io/Logging_NORRKOPING/artfynd/A 38988-2023.xlsx", "A 38988-2023")</f>
        <v/>
      </c>
      <c r="T160">
        <f>HYPERLINK("https://klasma.github.io/Logging_NORRKOPING/kartor/A 38988-2023.png", "A 38988-2023")</f>
        <v/>
      </c>
      <c r="V160">
        <f>HYPERLINK("https://klasma.github.io/Logging_NORRKOPING/klagomål/A 38988-2023.docx", "A 38988-2023")</f>
        <v/>
      </c>
      <c r="W160">
        <f>HYPERLINK("https://klasma.github.io/Logging_NORRKOPING/klagomålsmail/A 38988-2023.docx", "A 38988-2023")</f>
        <v/>
      </c>
      <c r="X160">
        <f>HYPERLINK("https://klasma.github.io/Logging_NORRKOPING/tillsyn/A 38988-2023.docx", "A 38988-2023")</f>
        <v/>
      </c>
      <c r="Y160">
        <f>HYPERLINK("https://klasma.github.io/Logging_NORRKOPING/tillsynsmail/A 38988-2023.docx", "A 38988-2023")</f>
        <v/>
      </c>
    </row>
    <row r="161" ht="15" customHeight="1">
      <c r="A161" t="inlineStr">
        <is>
          <t>A 39873-2023</t>
        </is>
      </c>
      <c r="B161" s="1" t="n">
        <v>45168</v>
      </c>
      <c r="C161" s="1" t="n">
        <v>45192</v>
      </c>
      <c r="D161" t="inlineStr">
        <is>
          <t>ÖSTERGÖTLANDS LÄN</t>
        </is>
      </c>
      <c r="E161" t="inlineStr">
        <is>
          <t>LINKÖPING</t>
        </is>
      </c>
      <c r="G161" t="n">
        <v>1.5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Svinrot
Grönvit nattviol</t>
        </is>
      </c>
      <c r="S161">
        <f>HYPERLINK("https://klasma.github.io/Logging_LINKOPING/artfynd/A 39873-2023.xlsx", "A 39873-2023")</f>
        <v/>
      </c>
      <c r="T161">
        <f>HYPERLINK("https://klasma.github.io/Logging_LINKOPING/kartor/A 39873-2023.png", "A 39873-2023")</f>
        <v/>
      </c>
      <c r="V161">
        <f>HYPERLINK("https://klasma.github.io/Logging_LINKOPING/klagomål/A 39873-2023.docx", "A 39873-2023")</f>
        <v/>
      </c>
      <c r="W161">
        <f>HYPERLINK("https://klasma.github.io/Logging_LINKOPING/klagomålsmail/A 39873-2023.docx", "A 39873-2023")</f>
        <v/>
      </c>
      <c r="X161">
        <f>HYPERLINK("https://klasma.github.io/Logging_LINKOPING/tillsyn/A 39873-2023.docx", "A 39873-2023")</f>
        <v/>
      </c>
      <c r="Y161">
        <f>HYPERLINK("https://klasma.github.io/Logging_LINKOPING/tillsynsmail/A 39873-2023.docx", "A 39873-2023")</f>
        <v/>
      </c>
    </row>
    <row r="162" ht="15" customHeight="1">
      <c r="A162" t="inlineStr">
        <is>
          <t>A 34574-2018</t>
        </is>
      </c>
      <c r="B162" s="1" t="n">
        <v>43320</v>
      </c>
      <c r="C162" s="1" t="n">
        <v>45192</v>
      </c>
      <c r="D162" t="inlineStr">
        <is>
          <t>ÖSTERGÖTLANDS LÄN</t>
        </is>
      </c>
      <c r="E162" t="inlineStr">
        <is>
          <t>KINDA</t>
        </is>
      </c>
      <c r="G162" t="n">
        <v>9.300000000000001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Bollvitmossa</t>
        </is>
      </c>
      <c r="S162">
        <f>HYPERLINK("https://klasma.github.io/Logging_KINDA/artfynd/A 34574-2018.xlsx", "A 34574-2018")</f>
        <v/>
      </c>
      <c r="T162">
        <f>HYPERLINK("https://klasma.github.io/Logging_KINDA/kartor/A 34574-2018.png", "A 34574-2018")</f>
        <v/>
      </c>
      <c r="V162">
        <f>HYPERLINK("https://klasma.github.io/Logging_KINDA/klagomål/A 34574-2018.docx", "A 34574-2018")</f>
        <v/>
      </c>
      <c r="W162">
        <f>HYPERLINK("https://klasma.github.io/Logging_KINDA/klagomålsmail/A 34574-2018.docx", "A 34574-2018")</f>
        <v/>
      </c>
      <c r="X162">
        <f>HYPERLINK("https://klasma.github.io/Logging_KINDA/tillsyn/A 34574-2018.docx", "A 34574-2018")</f>
        <v/>
      </c>
      <c r="Y162">
        <f>HYPERLINK("https://klasma.github.io/Logging_KINDA/tillsynsmail/A 34574-2018.docx", "A 34574-2018")</f>
        <v/>
      </c>
    </row>
    <row r="163" ht="15" customHeight="1">
      <c r="A163" t="inlineStr">
        <is>
          <t>A 42415-2018</t>
        </is>
      </c>
      <c r="B163" s="1" t="n">
        <v>43353</v>
      </c>
      <c r="C163" s="1" t="n">
        <v>45192</v>
      </c>
      <c r="D163" t="inlineStr">
        <is>
          <t>ÖSTERGÖTLANDS LÄN</t>
        </is>
      </c>
      <c r="E163" t="inlineStr">
        <is>
          <t>KINDA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Sorgfibbla</t>
        </is>
      </c>
      <c r="S163">
        <f>HYPERLINK("https://klasma.github.io/Logging_KINDA/artfynd/A 42415-2018.xlsx", "A 42415-2018")</f>
        <v/>
      </c>
      <c r="T163">
        <f>HYPERLINK("https://klasma.github.io/Logging_KINDA/kartor/A 42415-2018.png", "A 42415-2018")</f>
        <v/>
      </c>
      <c r="V163">
        <f>HYPERLINK("https://klasma.github.io/Logging_KINDA/klagomål/A 42415-2018.docx", "A 42415-2018")</f>
        <v/>
      </c>
      <c r="W163">
        <f>HYPERLINK("https://klasma.github.io/Logging_KINDA/klagomålsmail/A 42415-2018.docx", "A 42415-2018")</f>
        <v/>
      </c>
      <c r="X163">
        <f>HYPERLINK("https://klasma.github.io/Logging_KINDA/tillsyn/A 42415-2018.docx", "A 42415-2018")</f>
        <v/>
      </c>
      <c r="Y163">
        <f>HYPERLINK("https://klasma.github.io/Logging_KINDA/tillsynsmail/A 42415-2018.docx", "A 42415-2018")</f>
        <v/>
      </c>
    </row>
    <row r="164" ht="15" customHeight="1">
      <c r="A164" t="inlineStr">
        <is>
          <t>A 45681-2018</t>
        </is>
      </c>
      <c r="B164" s="1" t="n">
        <v>43363</v>
      </c>
      <c r="C164" s="1" t="n">
        <v>45192</v>
      </c>
      <c r="D164" t="inlineStr">
        <is>
          <t>ÖSTERGÖTLANDS LÄN</t>
        </is>
      </c>
      <c r="E164" t="inlineStr">
        <is>
          <t>ÖDESHÖG</t>
        </is>
      </c>
      <c r="G164" t="n">
        <v>7.3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Blåsippa</t>
        </is>
      </c>
      <c r="S164">
        <f>HYPERLINK("https://klasma.github.io/Logging_ODESHOG/artfynd/A 45681-2018.xlsx", "A 45681-2018")</f>
        <v/>
      </c>
      <c r="T164">
        <f>HYPERLINK("https://klasma.github.io/Logging_ODESHOG/kartor/A 45681-2018.png", "A 45681-2018")</f>
        <v/>
      </c>
      <c r="V164">
        <f>HYPERLINK("https://klasma.github.io/Logging_ODESHOG/klagomål/A 45681-2018.docx", "A 45681-2018")</f>
        <v/>
      </c>
      <c r="W164">
        <f>HYPERLINK("https://klasma.github.io/Logging_ODESHOG/klagomålsmail/A 45681-2018.docx", "A 45681-2018")</f>
        <v/>
      </c>
      <c r="X164">
        <f>HYPERLINK("https://klasma.github.io/Logging_ODESHOG/tillsyn/A 45681-2018.docx", "A 45681-2018")</f>
        <v/>
      </c>
      <c r="Y164">
        <f>HYPERLINK("https://klasma.github.io/Logging_ODESHOG/tillsynsmail/A 45681-2018.docx", "A 45681-2018")</f>
        <v/>
      </c>
    </row>
    <row r="165" ht="15" customHeight="1">
      <c r="A165" t="inlineStr">
        <is>
          <t>A 50450-2018</t>
        </is>
      </c>
      <c r="B165" s="1" t="n">
        <v>43379</v>
      </c>
      <c r="C165" s="1" t="n">
        <v>45192</v>
      </c>
      <c r="D165" t="inlineStr">
        <is>
          <t>ÖSTERGÖTLANDS LÄN</t>
        </is>
      </c>
      <c r="E165" t="inlineStr">
        <is>
          <t>ÅTVIDABERG</t>
        </is>
      </c>
      <c r="F165" t="inlineStr">
        <is>
          <t>Sveaskog</t>
        </is>
      </c>
      <c r="G165" t="n">
        <v>2.4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Blodvaxskivling</t>
        </is>
      </c>
      <c r="S165">
        <f>HYPERLINK("https://klasma.github.io/Logging_ATVIDABERG/artfynd/A 50450-2018.xlsx", "A 50450-2018")</f>
        <v/>
      </c>
      <c r="T165">
        <f>HYPERLINK("https://klasma.github.io/Logging_ATVIDABERG/kartor/A 50450-2018.png", "A 50450-2018")</f>
        <v/>
      </c>
      <c r="V165">
        <f>HYPERLINK("https://klasma.github.io/Logging_ATVIDABERG/klagomål/A 50450-2018.docx", "A 50450-2018")</f>
        <v/>
      </c>
      <c r="W165">
        <f>HYPERLINK("https://klasma.github.io/Logging_ATVIDABERG/klagomålsmail/A 50450-2018.docx", "A 50450-2018")</f>
        <v/>
      </c>
      <c r="X165">
        <f>HYPERLINK("https://klasma.github.io/Logging_ATVIDABERG/tillsyn/A 50450-2018.docx", "A 50450-2018")</f>
        <v/>
      </c>
      <c r="Y165">
        <f>HYPERLINK("https://klasma.github.io/Logging_ATVIDABERG/tillsynsmail/A 50450-2018.docx", "A 50450-2018")</f>
        <v/>
      </c>
    </row>
    <row r="166" ht="15" customHeight="1">
      <c r="A166" t="inlineStr">
        <is>
          <t>A 53264-2018</t>
        </is>
      </c>
      <c r="B166" s="1" t="n">
        <v>43390</v>
      </c>
      <c r="C166" s="1" t="n">
        <v>45192</v>
      </c>
      <c r="D166" t="inlineStr">
        <is>
          <t>ÖSTERGÖTLANDS LÄN</t>
        </is>
      </c>
      <c r="E166" t="inlineStr">
        <is>
          <t>LINKÖPING</t>
        </is>
      </c>
      <c r="G166" t="n">
        <v>4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Vårstarr</t>
        </is>
      </c>
      <c r="S166">
        <f>HYPERLINK("https://klasma.github.io/Logging_LINKOPING/artfynd/A 53264-2018.xlsx", "A 53264-2018")</f>
        <v/>
      </c>
      <c r="T166">
        <f>HYPERLINK("https://klasma.github.io/Logging_LINKOPING/kartor/A 53264-2018.png", "A 53264-2018")</f>
        <v/>
      </c>
      <c r="V166">
        <f>HYPERLINK("https://klasma.github.io/Logging_LINKOPING/klagomål/A 53264-2018.docx", "A 53264-2018")</f>
        <v/>
      </c>
      <c r="W166">
        <f>HYPERLINK("https://klasma.github.io/Logging_LINKOPING/klagomålsmail/A 53264-2018.docx", "A 53264-2018")</f>
        <v/>
      </c>
      <c r="X166">
        <f>HYPERLINK("https://klasma.github.io/Logging_LINKOPING/tillsyn/A 53264-2018.docx", "A 53264-2018")</f>
        <v/>
      </c>
      <c r="Y166">
        <f>HYPERLINK("https://klasma.github.io/Logging_LINKOPING/tillsynsmail/A 53264-2018.docx", "A 53264-2018")</f>
        <v/>
      </c>
    </row>
    <row r="167" ht="15" customHeight="1">
      <c r="A167" t="inlineStr">
        <is>
          <t>A 54257-2018</t>
        </is>
      </c>
      <c r="B167" s="1" t="n">
        <v>43393</v>
      </c>
      <c r="C167" s="1" t="n">
        <v>45192</v>
      </c>
      <c r="D167" t="inlineStr">
        <is>
          <t>ÖSTERGÖTLANDS LÄN</t>
        </is>
      </c>
      <c r="E167" t="inlineStr">
        <is>
          <t>ÅTVIDABERG</t>
        </is>
      </c>
      <c r="F167" t="inlineStr">
        <is>
          <t>Sveaskog</t>
        </is>
      </c>
      <c r="G167" t="n">
        <v>1.3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Vedtrappmossa</t>
        </is>
      </c>
      <c r="S167">
        <f>HYPERLINK("https://klasma.github.io/Logging_ATVIDABERG/artfynd/A 54257-2018.xlsx", "A 54257-2018")</f>
        <v/>
      </c>
      <c r="T167">
        <f>HYPERLINK("https://klasma.github.io/Logging_ATVIDABERG/kartor/A 54257-2018.png", "A 54257-2018")</f>
        <v/>
      </c>
      <c r="U167">
        <f>HYPERLINK("https://klasma.github.io/Logging_ATVIDABERG/knärot/A 54257-2018.png", "A 54257-2018")</f>
        <v/>
      </c>
      <c r="V167">
        <f>HYPERLINK("https://klasma.github.io/Logging_ATVIDABERG/klagomål/A 54257-2018.docx", "A 54257-2018")</f>
        <v/>
      </c>
      <c r="W167">
        <f>HYPERLINK("https://klasma.github.io/Logging_ATVIDABERG/klagomålsmail/A 54257-2018.docx", "A 54257-2018")</f>
        <v/>
      </c>
      <c r="X167">
        <f>HYPERLINK("https://klasma.github.io/Logging_ATVIDABERG/tillsyn/A 54257-2018.docx", "A 54257-2018")</f>
        <v/>
      </c>
      <c r="Y167">
        <f>HYPERLINK("https://klasma.github.io/Logging_ATVIDABERG/tillsynsmail/A 54257-2018.docx", "A 54257-2018")</f>
        <v/>
      </c>
    </row>
    <row r="168" ht="15" customHeight="1">
      <c r="A168" t="inlineStr">
        <is>
          <t>A 60828-2018</t>
        </is>
      </c>
      <c r="B168" s="1" t="n">
        <v>43410</v>
      </c>
      <c r="C168" s="1" t="n">
        <v>45192</v>
      </c>
      <c r="D168" t="inlineStr">
        <is>
          <t>ÖSTERGÖTLANDS LÄN</t>
        </is>
      </c>
      <c r="E168" t="inlineStr">
        <is>
          <t>ÅTVIDABERG</t>
        </is>
      </c>
      <c r="G168" t="n">
        <v>0.9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Ullticka</t>
        </is>
      </c>
      <c r="S168">
        <f>HYPERLINK("https://klasma.github.io/Logging_ATVIDABERG/artfynd/A 60828-2018.xlsx", "A 60828-2018")</f>
        <v/>
      </c>
      <c r="T168">
        <f>HYPERLINK("https://klasma.github.io/Logging_ATVIDABERG/kartor/A 60828-2018.png", "A 60828-2018")</f>
        <v/>
      </c>
      <c r="V168">
        <f>HYPERLINK("https://klasma.github.io/Logging_ATVIDABERG/klagomål/A 60828-2018.docx", "A 60828-2018")</f>
        <v/>
      </c>
      <c r="W168">
        <f>HYPERLINK("https://klasma.github.io/Logging_ATVIDABERG/klagomålsmail/A 60828-2018.docx", "A 60828-2018")</f>
        <v/>
      </c>
      <c r="X168">
        <f>HYPERLINK("https://klasma.github.io/Logging_ATVIDABERG/tillsyn/A 60828-2018.docx", "A 60828-2018")</f>
        <v/>
      </c>
      <c r="Y168">
        <f>HYPERLINK("https://klasma.github.io/Logging_ATVIDABERG/tillsynsmail/A 60828-2018.docx", "A 60828-2018")</f>
        <v/>
      </c>
    </row>
    <row r="169" ht="15" customHeight="1">
      <c r="A169" t="inlineStr">
        <is>
          <t>A 59745-2018</t>
        </is>
      </c>
      <c r="B169" s="1" t="n">
        <v>43411</v>
      </c>
      <c r="C169" s="1" t="n">
        <v>45192</v>
      </c>
      <c r="D169" t="inlineStr">
        <is>
          <t>ÖSTERGÖTLANDS LÄN</t>
        </is>
      </c>
      <c r="E169" t="inlineStr">
        <is>
          <t>NORRKÖPING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1</v>
      </c>
      <c r="M169" t="n">
        <v>0</v>
      </c>
      <c r="N169" t="n">
        <v>0</v>
      </c>
      <c r="O169" t="n">
        <v>1</v>
      </c>
      <c r="P169" t="n">
        <v>1</v>
      </c>
      <c r="Q169" t="n">
        <v>1</v>
      </c>
      <c r="R169" s="2" t="inlineStr">
        <is>
          <t>Ask</t>
        </is>
      </c>
      <c r="S169">
        <f>HYPERLINK("https://klasma.github.io/Logging_NORRKOPING/artfynd/A 59745-2018.xlsx", "A 59745-2018")</f>
        <v/>
      </c>
      <c r="T169">
        <f>HYPERLINK("https://klasma.github.io/Logging_NORRKOPING/kartor/A 59745-2018.png", "A 59745-2018")</f>
        <v/>
      </c>
      <c r="V169">
        <f>HYPERLINK("https://klasma.github.io/Logging_NORRKOPING/klagomål/A 59745-2018.docx", "A 59745-2018")</f>
        <v/>
      </c>
      <c r="W169">
        <f>HYPERLINK("https://klasma.github.io/Logging_NORRKOPING/klagomålsmail/A 59745-2018.docx", "A 59745-2018")</f>
        <v/>
      </c>
      <c r="X169">
        <f>HYPERLINK("https://klasma.github.io/Logging_NORRKOPING/tillsyn/A 59745-2018.docx", "A 59745-2018")</f>
        <v/>
      </c>
      <c r="Y169">
        <f>HYPERLINK("https://klasma.github.io/Logging_NORRKOPING/tillsynsmail/A 59745-2018.docx", "A 59745-2018")</f>
        <v/>
      </c>
    </row>
    <row r="170" ht="15" customHeight="1">
      <c r="A170" t="inlineStr">
        <is>
          <t>A 59235-2018</t>
        </is>
      </c>
      <c r="B170" s="1" t="n">
        <v>43417</v>
      </c>
      <c r="C170" s="1" t="n">
        <v>45192</v>
      </c>
      <c r="D170" t="inlineStr">
        <is>
          <t>ÖSTERGÖTLANDS LÄN</t>
        </is>
      </c>
      <c r="E170" t="inlineStr">
        <is>
          <t>LINKÖPING</t>
        </is>
      </c>
      <c r="G170" t="n">
        <v>2.7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Svinrot</t>
        </is>
      </c>
      <c r="S170">
        <f>HYPERLINK("https://klasma.github.io/Logging_LINKOPING/artfynd/A 59235-2018.xlsx", "A 59235-2018")</f>
        <v/>
      </c>
      <c r="T170">
        <f>HYPERLINK("https://klasma.github.io/Logging_LINKOPING/kartor/A 59235-2018.png", "A 59235-2018")</f>
        <v/>
      </c>
      <c r="V170">
        <f>HYPERLINK("https://klasma.github.io/Logging_LINKOPING/klagomål/A 59235-2018.docx", "A 59235-2018")</f>
        <v/>
      </c>
      <c r="W170">
        <f>HYPERLINK("https://klasma.github.io/Logging_LINKOPING/klagomålsmail/A 59235-2018.docx", "A 59235-2018")</f>
        <v/>
      </c>
      <c r="X170">
        <f>HYPERLINK("https://klasma.github.io/Logging_LINKOPING/tillsyn/A 59235-2018.docx", "A 59235-2018")</f>
        <v/>
      </c>
      <c r="Y170">
        <f>HYPERLINK("https://klasma.github.io/Logging_LINKOPING/tillsynsmail/A 59235-2018.docx", "A 59235-2018")</f>
        <v/>
      </c>
    </row>
    <row r="171" ht="15" customHeight="1">
      <c r="A171" t="inlineStr">
        <is>
          <t>A 67960-2018</t>
        </is>
      </c>
      <c r="B171" s="1" t="n">
        <v>43440</v>
      </c>
      <c r="C171" s="1" t="n">
        <v>45192</v>
      </c>
      <c r="D171" t="inlineStr">
        <is>
          <t>ÖSTERGÖTLANDS LÄN</t>
        </is>
      </c>
      <c r="E171" t="inlineStr">
        <is>
          <t>MJÖLBY</t>
        </is>
      </c>
      <c r="G171" t="n">
        <v>1.3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Backsvala</t>
        </is>
      </c>
      <c r="S171">
        <f>HYPERLINK("https://klasma.github.io/Logging_MJOLBY/artfynd/A 67960-2018.xlsx", "A 67960-2018")</f>
        <v/>
      </c>
      <c r="T171">
        <f>HYPERLINK("https://klasma.github.io/Logging_MJOLBY/kartor/A 67960-2018.png", "A 67960-2018")</f>
        <v/>
      </c>
      <c r="V171">
        <f>HYPERLINK("https://klasma.github.io/Logging_MJOLBY/klagomål/A 67960-2018.docx", "A 67960-2018")</f>
        <v/>
      </c>
      <c r="W171">
        <f>HYPERLINK("https://klasma.github.io/Logging_MJOLBY/klagomålsmail/A 67960-2018.docx", "A 67960-2018")</f>
        <v/>
      </c>
      <c r="X171">
        <f>HYPERLINK("https://klasma.github.io/Logging_MJOLBY/tillsyn/A 67960-2018.docx", "A 67960-2018")</f>
        <v/>
      </c>
      <c r="Y171">
        <f>HYPERLINK("https://klasma.github.io/Logging_MJOLBY/tillsynsmail/A 67960-2018.docx", "A 67960-2018")</f>
        <v/>
      </c>
    </row>
    <row r="172" ht="15" customHeight="1">
      <c r="A172" t="inlineStr">
        <is>
          <t>A 70444-2018</t>
        </is>
      </c>
      <c r="B172" s="1" t="n">
        <v>43447</v>
      </c>
      <c r="C172" s="1" t="n">
        <v>45192</v>
      </c>
      <c r="D172" t="inlineStr">
        <is>
          <t>ÖSTERGÖTLANDS LÄN</t>
        </is>
      </c>
      <c r="E172" t="inlineStr">
        <is>
          <t>FINSPÅNG</t>
        </is>
      </c>
      <c r="G172" t="n">
        <v>4.9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Veckticka</t>
        </is>
      </c>
      <c r="S172">
        <f>HYPERLINK("https://klasma.github.io/Logging_FINSPANG/artfynd/A 70444-2018.xlsx", "A 70444-2018")</f>
        <v/>
      </c>
      <c r="T172">
        <f>HYPERLINK("https://klasma.github.io/Logging_FINSPANG/kartor/A 70444-2018.png", "A 70444-2018")</f>
        <v/>
      </c>
      <c r="V172">
        <f>HYPERLINK("https://klasma.github.io/Logging_FINSPANG/klagomål/A 70444-2018.docx", "A 70444-2018")</f>
        <v/>
      </c>
      <c r="W172">
        <f>HYPERLINK("https://klasma.github.io/Logging_FINSPANG/klagomålsmail/A 70444-2018.docx", "A 70444-2018")</f>
        <v/>
      </c>
      <c r="X172">
        <f>HYPERLINK("https://klasma.github.io/Logging_FINSPANG/tillsyn/A 70444-2018.docx", "A 70444-2018")</f>
        <v/>
      </c>
      <c r="Y172">
        <f>HYPERLINK("https://klasma.github.io/Logging_FINSPANG/tillsynsmail/A 70444-2018.docx", "A 70444-2018")</f>
        <v/>
      </c>
    </row>
    <row r="173" ht="15" customHeight="1">
      <c r="A173" t="inlineStr">
        <is>
          <t>A 70582-2018</t>
        </is>
      </c>
      <c r="B173" s="1" t="n">
        <v>43451</v>
      </c>
      <c r="C173" s="1" t="n">
        <v>45192</v>
      </c>
      <c r="D173" t="inlineStr">
        <is>
          <t>ÖSTERGÖTLANDS LÄN</t>
        </is>
      </c>
      <c r="E173" t="inlineStr">
        <is>
          <t>ÅTVIDABERG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HYPERLINK("https://klasma.github.io/Logging_ATVIDABERG/artfynd/A 70582-2018.xlsx", "A 70582-2018")</f>
        <v/>
      </c>
      <c r="T173">
        <f>HYPERLINK("https://klasma.github.io/Logging_ATVIDABERG/kartor/A 70582-2018.png", "A 70582-2018")</f>
        <v/>
      </c>
      <c r="V173">
        <f>HYPERLINK("https://klasma.github.io/Logging_ATVIDABERG/klagomål/A 70582-2018.docx", "A 70582-2018")</f>
        <v/>
      </c>
      <c r="W173">
        <f>HYPERLINK("https://klasma.github.io/Logging_ATVIDABERG/klagomålsmail/A 70582-2018.docx", "A 70582-2018")</f>
        <v/>
      </c>
      <c r="X173">
        <f>HYPERLINK("https://klasma.github.io/Logging_ATVIDABERG/tillsyn/A 70582-2018.docx", "A 70582-2018")</f>
        <v/>
      </c>
      <c r="Y173">
        <f>HYPERLINK("https://klasma.github.io/Logging_ATVIDABERG/tillsynsmail/A 70582-2018.docx", "A 70582-2018")</f>
        <v/>
      </c>
    </row>
    <row r="174" ht="15" customHeight="1">
      <c r="A174" t="inlineStr">
        <is>
          <t>A 71913-2018</t>
        </is>
      </c>
      <c r="B174" s="1" t="n">
        <v>43453</v>
      </c>
      <c r="C174" s="1" t="n">
        <v>45192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Övriga Aktiebolag</t>
        </is>
      </c>
      <c r="G174" t="n">
        <v>9.800000000000001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Mattlummer</t>
        </is>
      </c>
      <c r="S174">
        <f>HYPERLINK("https://klasma.github.io/Logging_LINKOPING/artfynd/A 71913-2018.xlsx", "A 71913-2018")</f>
        <v/>
      </c>
      <c r="T174">
        <f>HYPERLINK("https://klasma.github.io/Logging_LINKOPING/kartor/A 71913-2018.png", "A 71913-2018")</f>
        <v/>
      </c>
      <c r="V174">
        <f>HYPERLINK("https://klasma.github.io/Logging_LINKOPING/klagomål/A 71913-2018.docx", "A 71913-2018")</f>
        <v/>
      </c>
      <c r="W174">
        <f>HYPERLINK("https://klasma.github.io/Logging_LINKOPING/klagomålsmail/A 71913-2018.docx", "A 71913-2018")</f>
        <v/>
      </c>
      <c r="X174">
        <f>HYPERLINK("https://klasma.github.io/Logging_LINKOPING/tillsyn/A 71913-2018.docx", "A 71913-2018")</f>
        <v/>
      </c>
      <c r="Y174">
        <f>HYPERLINK("https://klasma.github.io/Logging_LINKOPING/tillsynsmail/A 71913-2018.docx", "A 71913-2018")</f>
        <v/>
      </c>
    </row>
    <row r="175" ht="15" customHeight="1">
      <c r="A175" t="inlineStr">
        <is>
          <t>A 71297-2018</t>
        </is>
      </c>
      <c r="B175" s="1" t="n">
        <v>43453</v>
      </c>
      <c r="C175" s="1" t="n">
        <v>45192</v>
      </c>
      <c r="D175" t="inlineStr">
        <is>
          <t>ÖSTERGÖTLANDS LÄN</t>
        </is>
      </c>
      <c r="E175" t="inlineStr">
        <is>
          <t>MOTALA</t>
        </is>
      </c>
      <c r="F175" t="inlineStr">
        <is>
          <t>Kommuner</t>
        </is>
      </c>
      <c r="G175" t="n">
        <v>2.5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Luddfingersvamp</t>
        </is>
      </c>
      <c r="S175">
        <f>HYPERLINK("https://klasma.github.io/Logging_MOTALA/artfynd/A 71297-2018.xlsx", "A 71297-2018")</f>
        <v/>
      </c>
      <c r="T175">
        <f>HYPERLINK("https://klasma.github.io/Logging_MOTALA/kartor/A 71297-2018.png", "A 71297-2018")</f>
        <v/>
      </c>
      <c r="V175">
        <f>HYPERLINK("https://klasma.github.io/Logging_MOTALA/klagomål/A 71297-2018.docx", "A 71297-2018")</f>
        <v/>
      </c>
      <c r="W175">
        <f>HYPERLINK("https://klasma.github.io/Logging_MOTALA/klagomålsmail/A 71297-2018.docx", "A 71297-2018")</f>
        <v/>
      </c>
      <c r="X175">
        <f>HYPERLINK("https://klasma.github.io/Logging_MOTALA/tillsyn/A 71297-2018.docx", "A 71297-2018")</f>
        <v/>
      </c>
      <c r="Y175">
        <f>HYPERLINK("https://klasma.github.io/Logging_MOTALA/tillsynsmail/A 71297-2018.docx", "A 71297-2018")</f>
        <v/>
      </c>
    </row>
    <row r="176" ht="15" customHeight="1">
      <c r="A176" t="inlineStr">
        <is>
          <t>A 1679-2019</t>
        </is>
      </c>
      <c r="B176" s="1" t="n">
        <v>43474</v>
      </c>
      <c r="C176" s="1" t="n">
        <v>45192</v>
      </c>
      <c r="D176" t="inlineStr">
        <is>
          <t>ÖSTERGÖTLANDS LÄN</t>
        </is>
      </c>
      <c r="E176" t="inlineStr">
        <is>
          <t>KINDA</t>
        </is>
      </c>
      <c r="G176" t="n">
        <v>0.4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Strutbräken</t>
        </is>
      </c>
      <c r="S176">
        <f>HYPERLINK("https://klasma.github.io/Logging_KINDA/artfynd/A 1679-2019.xlsx", "A 1679-2019")</f>
        <v/>
      </c>
      <c r="T176">
        <f>HYPERLINK("https://klasma.github.io/Logging_KINDA/kartor/A 1679-2019.png", "A 1679-2019")</f>
        <v/>
      </c>
      <c r="V176">
        <f>HYPERLINK("https://klasma.github.io/Logging_KINDA/klagomål/A 1679-2019.docx", "A 1679-2019")</f>
        <v/>
      </c>
      <c r="W176">
        <f>HYPERLINK("https://klasma.github.io/Logging_KINDA/klagomålsmail/A 1679-2019.docx", "A 1679-2019")</f>
        <v/>
      </c>
      <c r="X176">
        <f>HYPERLINK("https://klasma.github.io/Logging_KINDA/tillsyn/A 1679-2019.docx", "A 1679-2019")</f>
        <v/>
      </c>
      <c r="Y176">
        <f>HYPERLINK("https://klasma.github.io/Logging_KINDA/tillsynsmail/A 1679-2019.docx", "A 1679-2019")</f>
        <v/>
      </c>
    </row>
    <row r="177" ht="15" customHeight="1">
      <c r="A177" t="inlineStr">
        <is>
          <t>A 2180-2019</t>
        </is>
      </c>
      <c r="B177" s="1" t="n">
        <v>43475</v>
      </c>
      <c r="C177" s="1" t="n">
        <v>45192</v>
      </c>
      <c r="D177" t="inlineStr">
        <is>
          <t>ÖSTERGÖTLANDS LÄN</t>
        </is>
      </c>
      <c r="E177" t="inlineStr">
        <is>
          <t>KINDA</t>
        </is>
      </c>
      <c r="G177" t="n">
        <v>2</v>
      </c>
      <c r="H177" t="n">
        <v>1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Korallrot</t>
        </is>
      </c>
      <c r="S177">
        <f>HYPERLINK("https://klasma.github.io/Logging_KINDA/artfynd/A 2180-2019.xlsx", "A 2180-2019")</f>
        <v/>
      </c>
      <c r="T177">
        <f>HYPERLINK("https://klasma.github.io/Logging_KINDA/kartor/A 2180-2019.png", "A 2180-2019")</f>
        <v/>
      </c>
      <c r="V177">
        <f>HYPERLINK("https://klasma.github.io/Logging_KINDA/klagomål/A 2180-2019.docx", "A 2180-2019")</f>
        <v/>
      </c>
      <c r="W177">
        <f>HYPERLINK("https://klasma.github.io/Logging_KINDA/klagomålsmail/A 2180-2019.docx", "A 2180-2019")</f>
        <v/>
      </c>
      <c r="X177">
        <f>HYPERLINK("https://klasma.github.io/Logging_KINDA/tillsyn/A 2180-2019.docx", "A 2180-2019")</f>
        <v/>
      </c>
      <c r="Y177">
        <f>HYPERLINK("https://klasma.github.io/Logging_KINDA/tillsynsmail/A 2180-2019.docx", "A 2180-2019")</f>
        <v/>
      </c>
    </row>
    <row r="178" ht="15" customHeight="1">
      <c r="A178" t="inlineStr">
        <is>
          <t>A 10061-2019</t>
        </is>
      </c>
      <c r="B178" s="1" t="n">
        <v>43510</v>
      </c>
      <c r="C178" s="1" t="n">
        <v>45192</v>
      </c>
      <c r="D178" t="inlineStr">
        <is>
          <t>ÖSTERGÖTLANDS LÄN</t>
        </is>
      </c>
      <c r="E178" t="inlineStr">
        <is>
          <t>LINKÖPING</t>
        </is>
      </c>
      <c r="G178" t="n">
        <v>8.699999999999999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Brun nållav</t>
        </is>
      </c>
      <c r="S178">
        <f>HYPERLINK("https://klasma.github.io/Logging_LINKOPING/artfynd/A 10061-2019.xlsx", "A 10061-2019")</f>
        <v/>
      </c>
      <c r="T178">
        <f>HYPERLINK("https://klasma.github.io/Logging_LINKOPING/kartor/A 10061-2019.png", "A 10061-2019")</f>
        <v/>
      </c>
      <c r="V178">
        <f>HYPERLINK("https://klasma.github.io/Logging_LINKOPING/klagomål/A 10061-2019.docx", "A 10061-2019")</f>
        <v/>
      </c>
      <c r="W178">
        <f>HYPERLINK("https://klasma.github.io/Logging_LINKOPING/klagomålsmail/A 10061-2019.docx", "A 10061-2019")</f>
        <v/>
      </c>
      <c r="X178">
        <f>HYPERLINK("https://klasma.github.io/Logging_LINKOPING/tillsyn/A 10061-2019.docx", "A 10061-2019")</f>
        <v/>
      </c>
      <c r="Y178">
        <f>HYPERLINK("https://klasma.github.io/Logging_LINKOPING/tillsynsmail/A 10061-2019.docx", "A 10061-2019")</f>
        <v/>
      </c>
    </row>
    <row r="179" ht="15" customHeight="1">
      <c r="A179" t="inlineStr">
        <is>
          <t>A 10630-2019</t>
        </is>
      </c>
      <c r="B179" s="1" t="n">
        <v>43513</v>
      </c>
      <c r="C179" s="1" t="n">
        <v>45192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Övriga Aktiebolag</t>
        </is>
      </c>
      <c r="G179" t="n">
        <v>6.7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Silversmygare</t>
        </is>
      </c>
      <c r="S179">
        <f>HYPERLINK("https://klasma.github.io/Logging_FINSPANG/artfynd/A 10630-2019.xlsx", "A 10630-2019")</f>
        <v/>
      </c>
      <c r="T179">
        <f>HYPERLINK("https://klasma.github.io/Logging_FINSPANG/kartor/A 10630-2019.png", "A 10630-2019")</f>
        <v/>
      </c>
      <c r="V179">
        <f>HYPERLINK("https://klasma.github.io/Logging_FINSPANG/klagomål/A 10630-2019.docx", "A 10630-2019")</f>
        <v/>
      </c>
      <c r="W179">
        <f>HYPERLINK("https://klasma.github.io/Logging_FINSPANG/klagomålsmail/A 10630-2019.docx", "A 10630-2019")</f>
        <v/>
      </c>
      <c r="X179">
        <f>HYPERLINK("https://klasma.github.io/Logging_FINSPANG/tillsyn/A 10630-2019.docx", "A 10630-2019")</f>
        <v/>
      </c>
      <c r="Y179">
        <f>HYPERLINK("https://klasma.github.io/Logging_FINSPANG/tillsynsmail/A 10630-2019.docx", "A 10630-2019")</f>
        <v/>
      </c>
    </row>
    <row r="180" ht="15" customHeight="1">
      <c r="A180" t="inlineStr">
        <is>
          <t>A 12321-2019</t>
        </is>
      </c>
      <c r="B180" s="1" t="n">
        <v>43523</v>
      </c>
      <c r="C180" s="1" t="n">
        <v>45192</v>
      </c>
      <c r="D180" t="inlineStr">
        <is>
          <t>ÖSTERGÖTLANDS LÄN</t>
        </is>
      </c>
      <c r="E180" t="inlineStr">
        <is>
          <t>KINDA</t>
        </is>
      </c>
      <c r="G180" t="n">
        <v>0.9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Klubbsprötad bastardsvärmare</t>
        </is>
      </c>
      <c r="S180">
        <f>HYPERLINK("https://klasma.github.io/Logging_KINDA/artfynd/A 12321-2019.xlsx", "A 12321-2019")</f>
        <v/>
      </c>
      <c r="T180">
        <f>HYPERLINK("https://klasma.github.io/Logging_KINDA/kartor/A 12321-2019.png", "A 12321-2019")</f>
        <v/>
      </c>
      <c r="V180">
        <f>HYPERLINK("https://klasma.github.io/Logging_KINDA/klagomål/A 12321-2019.docx", "A 12321-2019")</f>
        <v/>
      </c>
      <c r="W180">
        <f>HYPERLINK("https://klasma.github.io/Logging_KINDA/klagomålsmail/A 12321-2019.docx", "A 12321-2019")</f>
        <v/>
      </c>
      <c r="X180">
        <f>HYPERLINK("https://klasma.github.io/Logging_KINDA/tillsyn/A 12321-2019.docx", "A 12321-2019")</f>
        <v/>
      </c>
      <c r="Y180">
        <f>HYPERLINK("https://klasma.github.io/Logging_KINDA/tillsynsmail/A 12321-2019.docx", "A 12321-2019")</f>
        <v/>
      </c>
    </row>
    <row r="181" ht="15" customHeight="1">
      <c r="A181" t="inlineStr">
        <is>
          <t>A 12638-2019</t>
        </is>
      </c>
      <c r="B181" s="1" t="n">
        <v>43524</v>
      </c>
      <c r="C181" s="1" t="n">
        <v>45192</v>
      </c>
      <c r="D181" t="inlineStr">
        <is>
          <t>ÖSTERGÖTLANDS LÄN</t>
        </is>
      </c>
      <c r="E181" t="inlineStr">
        <is>
          <t>KINDA</t>
        </is>
      </c>
      <c r="G181" t="n">
        <v>2.1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Blåsippa</t>
        </is>
      </c>
      <c r="S181">
        <f>HYPERLINK("https://klasma.github.io/Logging_KINDA/artfynd/A 12638-2019.xlsx", "A 12638-2019")</f>
        <v/>
      </c>
      <c r="T181">
        <f>HYPERLINK("https://klasma.github.io/Logging_KINDA/kartor/A 12638-2019.png", "A 12638-2019")</f>
        <v/>
      </c>
      <c r="V181">
        <f>HYPERLINK("https://klasma.github.io/Logging_KINDA/klagomål/A 12638-2019.docx", "A 12638-2019")</f>
        <v/>
      </c>
      <c r="W181">
        <f>HYPERLINK("https://klasma.github.io/Logging_KINDA/klagomålsmail/A 12638-2019.docx", "A 12638-2019")</f>
        <v/>
      </c>
      <c r="X181">
        <f>HYPERLINK("https://klasma.github.io/Logging_KINDA/tillsyn/A 12638-2019.docx", "A 12638-2019")</f>
        <v/>
      </c>
      <c r="Y181">
        <f>HYPERLINK("https://klasma.github.io/Logging_KINDA/tillsynsmail/A 12638-2019.docx", "A 12638-2019")</f>
        <v/>
      </c>
    </row>
    <row r="182" ht="15" customHeight="1">
      <c r="A182" t="inlineStr">
        <is>
          <t>A 12639-2019</t>
        </is>
      </c>
      <c r="B182" s="1" t="n">
        <v>43524</v>
      </c>
      <c r="C182" s="1" t="n">
        <v>45192</v>
      </c>
      <c r="D182" t="inlineStr">
        <is>
          <t>ÖSTERGÖTLANDS LÄN</t>
        </is>
      </c>
      <c r="E182" t="inlineStr">
        <is>
          <t>YDRE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Lake</t>
        </is>
      </c>
      <c r="S182">
        <f>HYPERLINK("https://klasma.github.io/Logging_YDRE/artfynd/A 12639-2019.xlsx", "A 12639-2019")</f>
        <v/>
      </c>
      <c r="T182">
        <f>HYPERLINK("https://klasma.github.io/Logging_YDRE/kartor/A 12639-2019.png", "A 12639-2019")</f>
        <v/>
      </c>
      <c r="V182">
        <f>HYPERLINK("https://klasma.github.io/Logging_YDRE/klagomål/A 12639-2019.docx", "A 12639-2019")</f>
        <v/>
      </c>
      <c r="W182">
        <f>HYPERLINK("https://klasma.github.io/Logging_YDRE/klagomålsmail/A 12639-2019.docx", "A 12639-2019")</f>
        <v/>
      </c>
      <c r="X182">
        <f>HYPERLINK("https://klasma.github.io/Logging_YDRE/tillsyn/A 12639-2019.docx", "A 12639-2019")</f>
        <v/>
      </c>
      <c r="Y182">
        <f>HYPERLINK("https://klasma.github.io/Logging_YDRE/tillsynsmail/A 12639-2019.docx", "A 12639-2019")</f>
        <v/>
      </c>
    </row>
    <row r="183" ht="15" customHeight="1">
      <c r="A183" t="inlineStr">
        <is>
          <t>A 13899-2019</t>
        </is>
      </c>
      <c r="B183" s="1" t="n">
        <v>43531</v>
      </c>
      <c r="C183" s="1" t="n">
        <v>45192</v>
      </c>
      <c r="D183" t="inlineStr">
        <is>
          <t>ÖSTERGÖTLANDS LÄN</t>
        </is>
      </c>
      <c r="E183" t="inlineStr">
        <is>
          <t>KINDA</t>
        </is>
      </c>
      <c r="G183" t="n">
        <v>5.7</v>
      </c>
      <c r="H183" t="n">
        <v>1</v>
      </c>
      <c r="I183" t="n">
        <v>0</v>
      </c>
      <c r="J183" t="n">
        <v>0</v>
      </c>
      <c r="K183" t="n">
        <v>1</v>
      </c>
      <c r="L183" t="n">
        <v>0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Knärot</t>
        </is>
      </c>
      <c r="S183">
        <f>HYPERLINK("https://klasma.github.io/Logging_KINDA/artfynd/A 13899-2019.xlsx", "A 13899-2019")</f>
        <v/>
      </c>
      <c r="T183">
        <f>HYPERLINK("https://klasma.github.io/Logging_KINDA/kartor/A 13899-2019.png", "A 13899-2019")</f>
        <v/>
      </c>
      <c r="U183">
        <f>HYPERLINK("https://klasma.github.io/Logging_KINDA/knärot/A 13899-2019.png", "A 13899-2019")</f>
        <v/>
      </c>
      <c r="V183">
        <f>HYPERLINK("https://klasma.github.io/Logging_KINDA/klagomål/A 13899-2019.docx", "A 13899-2019")</f>
        <v/>
      </c>
      <c r="W183">
        <f>HYPERLINK("https://klasma.github.io/Logging_KINDA/klagomålsmail/A 13899-2019.docx", "A 13899-2019")</f>
        <v/>
      </c>
      <c r="X183">
        <f>HYPERLINK("https://klasma.github.io/Logging_KINDA/tillsyn/A 13899-2019.docx", "A 13899-2019")</f>
        <v/>
      </c>
      <c r="Y183">
        <f>HYPERLINK("https://klasma.github.io/Logging_KINDA/tillsynsmail/A 13899-2019.docx", "A 13899-2019")</f>
        <v/>
      </c>
    </row>
    <row r="184" ht="15" customHeight="1">
      <c r="A184" t="inlineStr">
        <is>
          <t>A 16378-2019</t>
        </is>
      </c>
      <c r="B184" s="1" t="n">
        <v>43546</v>
      </c>
      <c r="C184" s="1" t="n">
        <v>45192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BillerudKorsnäs AB</t>
        </is>
      </c>
      <c r="G184" t="n">
        <v>2.7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Ekoxe</t>
        </is>
      </c>
      <c r="S184">
        <f>HYPERLINK("https://klasma.github.io/Logging_NORRKOPING/artfynd/A 16378-2019.xlsx", "A 16378-2019")</f>
        <v/>
      </c>
      <c r="T184">
        <f>HYPERLINK("https://klasma.github.io/Logging_NORRKOPING/kartor/A 16378-2019.png", "A 16378-2019")</f>
        <v/>
      </c>
      <c r="V184">
        <f>HYPERLINK("https://klasma.github.io/Logging_NORRKOPING/klagomål/A 16378-2019.docx", "A 16378-2019")</f>
        <v/>
      </c>
      <c r="W184">
        <f>HYPERLINK("https://klasma.github.io/Logging_NORRKOPING/klagomålsmail/A 16378-2019.docx", "A 16378-2019")</f>
        <v/>
      </c>
      <c r="X184">
        <f>HYPERLINK("https://klasma.github.io/Logging_NORRKOPING/tillsyn/A 16378-2019.docx", "A 16378-2019")</f>
        <v/>
      </c>
      <c r="Y184">
        <f>HYPERLINK("https://klasma.github.io/Logging_NORRKOPING/tillsynsmail/A 16378-2019.docx", "A 16378-2019")</f>
        <v/>
      </c>
    </row>
    <row r="185" ht="15" customHeight="1">
      <c r="A185" t="inlineStr">
        <is>
          <t>A 19407-2019</t>
        </is>
      </c>
      <c r="B185" s="1" t="n">
        <v>43565</v>
      </c>
      <c r="C185" s="1" t="n">
        <v>45192</v>
      </c>
      <c r="D185" t="inlineStr">
        <is>
          <t>ÖSTERGÖTLANDS LÄN</t>
        </is>
      </c>
      <c r="E185" t="inlineStr">
        <is>
          <t>FINSPÅNG</t>
        </is>
      </c>
      <c r="G185" t="n">
        <v>10.5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Ullticka</t>
        </is>
      </c>
      <c r="S185">
        <f>HYPERLINK("https://klasma.github.io/Logging_FINSPANG/artfynd/A 19407-2019.xlsx", "A 19407-2019")</f>
        <v/>
      </c>
      <c r="T185">
        <f>HYPERLINK("https://klasma.github.io/Logging_FINSPANG/kartor/A 19407-2019.png", "A 19407-2019")</f>
        <v/>
      </c>
      <c r="V185">
        <f>HYPERLINK("https://klasma.github.io/Logging_FINSPANG/klagomål/A 19407-2019.docx", "A 19407-2019")</f>
        <v/>
      </c>
      <c r="W185">
        <f>HYPERLINK("https://klasma.github.io/Logging_FINSPANG/klagomålsmail/A 19407-2019.docx", "A 19407-2019")</f>
        <v/>
      </c>
      <c r="X185">
        <f>HYPERLINK("https://klasma.github.io/Logging_FINSPANG/tillsyn/A 19407-2019.docx", "A 19407-2019")</f>
        <v/>
      </c>
      <c r="Y185">
        <f>HYPERLINK("https://klasma.github.io/Logging_FINSPANG/tillsynsmail/A 19407-2019.docx", "A 19407-2019")</f>
        <v/>
      </c>
    </row>
    <row r="186" ht="15" customHeight="1">
      <c r="A186" t="inlineStr">
        <is>
          <t>A 20149-2019</t>
        </is>
      </c>
      <c r="B186" s="1" t="n">
        <v>43570</v>
      </c>
      <c r="C186" s="1" t="n">
        <v>45192</v>
      </c>
      <c r="D186" t="inlineStr">
        <is>
          <t>ÖSTERGÖTLANDS LÄN</t>
        </is>
      </c>
      <c r="E186" t="inlineStr">
        <is>
          <t>VALDEMARSVIK</t>
        </is>
      </c>
      <c r="F186" t="inlineStr">
        <is>
          <t>Övriga Aktiebolag</t>
        </is>
      </c>
      <c r="G186" t="n">
        <v>4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Vippärt</t>
        </is>
      </c>
      <c r="S186">
        <f>HYPERLINK("https://klasma.github.io/Logging_VALDEMARSVIK/artfynd/A 20149-2019.xlsx", "A 20149-2019")</f>
        <v/>
      </c>
      <c r="T186">
        <f>HYPERLINK("https://klasma.github.io/Logging_VALDEMARSVIK/kartor/A 20149-2019.png", "A 20149-2019")</f>
        <v/>
      </c>
      <c r="V186">
        <f>HYPERLINK("https://klasma.github.io/Logging_VALDEMARSVIK/klagomål/A 20149-2019.docx", "A 20149-2019")</f>
        <v/>
      </c>
      <c r="W186">
        <f>HYPERLINK("https://klasma.github.io/Logging_VALDEMARSVIK/klagomålsmail/A 20149-2019.docx", "A 20149-2019")</f>
        <v/>
      </c>
      <c r="X186">
        <f>HYPERLINK("https://klasma.github.io/Logging_VALDEMARSVIK/tillsyn/A 20149-2019.docx", "A 20149-2019")</f>
        <v/>
      </c>
      <c r="Y186">
        <f>HYPERLINK("https://klasma.github.io/Logging_VALDEMARSVIK/tillsynsmail/A 20149-2019.docx", "A 20149-2019")</f>
        <v/>
      </c>
    </row>
    <row r="187" ht="15" customHeight="1">
      <c r="A187" t="inlineStr">
        <is>
          <t>A 22210-2019</t>
        </is>
      </c>
      <c r="B187" s="1" t="n">
        <v>43585</v>
      </c>
      <c r="C187" s="1" t="n">
        <v>45192</v>
      </c>
      <c r="D187" t="inlineStr">
        <is>
          <t>ÖSTERGÖTLANDS LÄN</t>
        </is>
      </c>
      <c r="E187" t="inlineStr">
        <is>
          <t>KINDA</t>
        </is>
      </c>
      <c r="G187" t="n">
        <v>6.5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Bergjohannesört</t>
        </is>
      </c>
      <c r="S187">
        <f>HYPERLINK("https://klasma.github.io/Logging_KINDA/artfynd/A 22210-2019.xlsx", "A 22210-2019")</f>
        <v/>
      </c>
      <c r="T187">
        <f>HYPERLINK("https://klasma.github.io/Logging_KINDA/kartor/A 22210-2019.png", "A 22210-2019")</f>
        <v/>
      </c>
      <c r="V187">
        <f>HYPERLINK("https://klasma.github.io/Logging_KINDA/klagomål/A 22210-2019.docx", "A 22210-2019")</f>
        <v/>
      </c>
      <c r="W187">
        <f>HYPERLINK("https://klasma.github.io/Logging_KINDA/klagomålsmail/A 22210-2019.docx", "A 22210-2019")</f>
        <v/>
      </c>
      <c r="X187">
        <f>HYPERLINK("https://klasma.github.io/Logging_KINDA/tillsyn/A 22210-2019.docx", "A 22210-2019")</f>
        <v/>
      </c>
      <c r="Y187">
        <f>HYPERLINK("https://klasma.github.io/Logging_KINDA/tillsynsmail/A 22210-2019.docx", "A 22210-2019")</f>
        <v/>
      </c>
    </row>
    <row r="188" ht="15" customHeight="1">
      <c r="A188" t="inlineStr">
        <is>
          <t>A 24547-2019</t>
        </is>
      </c>
      <c r="B188" s="1" t="n">
        <v>43600</v>
      </c>
      <c r="C188" s="1" t="n">
        <v>45192</v>
      </c>
      <c r="D188" t="inlineStr">
        <is>
          <t>ÖSTERGÖTLANDS LÄN</t>
        </is>
      </c>
      <c r="E188" t="inlineStr">
        <is>
          <t>FINSPÅNG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1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Råglosta</t>
        </is>
      </c>
      <c r="S188">
        <f>HYPERLINK("https://klasma.github.io/Logging_FINSPANG/artfynd/A 24547-2019.xlsx", "A 24547-2019")</f>
        <v/>
      </c>
      <c r="T188">
        <f>HYPERLINK("https://klasma.github.io/Logging_FINSPANG/kartor/A 24547-2019.png", "A 24547-2019")</f>
        <v/>
      </c>
      <c r="V188">
        <f>HYPERLINK("https://klasma.github.io/Logging_FINSPANG/klagomål/A 24547-2019.docx", "A 24547-2019")</f>
        <v/>
      </c>
      <c r="W188">
        <f>HYPERLINK("https://klasma.github.io/Logging_FINSPANG/klagomålsmail/A 24547-2019.docx", "A 24547-2019")</f>
        <v/>
      </c>
      <c r="X188">
        <f>HYPERLINK("https://klasma.github.io/Logging_FINSPANG/tillsyn/A 24547-2019.docx", "A 24547-2019")</f>
        <v/>
      </c>
      <c r="Y188">
        <f>HYPERLINK("https://klasma.github.io/Logging_FINSPANG/tillsynsmail/A 24547-2019.docx", "A 24547-2019")</f>
        <v/>
      </c>
    </row>
    <row r="189" ht="15" customHeight="1">
      <c r="A189" t="inlineStr">
        <is>
          <t>A 24668-2019</t>
        </is>
      </c>
      <c r="B189" s="1" t="n">
        <v>43601</v>
      </c>
      <c r="C189" s="1" t="n">
        <v>45192</v>
      </c>
      <c r="D189" t="inlineStr">
        <is>
          <t>ÖSTERGÖTLANDS LÄN</t>
        </is>
      </c>
      <c r="E189" t="inlineStr">
        <is>
          <t>NORRKÖPING</t>
        </is>
      </c>
      <c r="F189" t="inlineStr">
        <is>
          <t>Allmännings- och besparingsskogar</t>
        </is>
      </c>
      <c r="G189" t="n">
        <v>9.4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Mattlummer</t>
        </is>
      </c>
      <c r="S189">
        <f>HYPERLINK("https://klasma.github.io/Logging_NORRKOPING/artfynd/A 24668-2019.xlsx", "A 24668-2019")</f>
        <v/>
      </c>
      <c r="T189">
        <f>HYPERLINK("https://klasma.github.io/Logging_NORRKOPING/kartor/A 24668-2019.png", "A 24668-2019")</f>
        <v/>
      </c>
      <c r="V189">
        <f>HYPERLINK("https://klasma.github.io/Logging_NORRKOPING/klagomål/A 24668-2019.docx", "A 24668-2019")</f>
        <v/>
      </c>
      <c r="W189">
        <f>HYPERLINK("https://klasma.github.io/Logging_NORRKOPING/klagomålsmail/A 24668-2019.docx", "A 24668-2019")</f>
        <v/>
      </c>
      <c r="X189">
        <f>HYPERLINK("https://klasma.github.io/Logging_NORRKOPING/tillsyn/A 24668-2019.docx", "A 24668-2019")</f>
        <v/>
      </c>
      <c r="Y189">
        <f>HYPERLINK("https://klasma.github.io/Logging_NORRKOPING/tillsynsmail/A 24668-2019.docx", "A 24668-2019")</f>
        <v/>
      </c>
    </row>
    <row r="190" ht="15" customHeight="1">
      <c r="A190" t="inlineStr">
        <is>
          <t>A 24841-2019</t>
        </is>
      </c>
      <c r="B190" s="1" t="n">
        <v>43602</v>
      </c>
      <c r="C190" s="1" t="n">
        <v>45192</v>
      </c>
      <c r="D190" t="inlineStr">
        <is>
          <t>ÖSTERGÖTLANDS LÄN</t>
        </is>
      </c>
      <c r="E190" t="inlineStr">
        <is>
          <t>NORRKÖPING</t>
        </is>
      </c>
      <c r="G190" t="n">
        <v>7.4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Tallticka</t>
        </is>
      </c>
      <c r="S190">
        <f>HYPERLINK("https://klasma.github.io/Logging_NORRKOPING/artfynd/A 24841-2019.xlsx", "A 24841-2019")</f>
        <v/>
      </c>
      <c r="T190">
        <f>HYPERLINK("https://klasma.github.io/Logging_NORRKOPING/kartor/A 24841-2019.png", "A 24841-2019")</f>
        <v/>
      </c>
      <c r="V190">
        <f>HYPERLINK("https://klasma.github.io/Logging_NORRKOPING/klagomål/A 24841-2019.docx", "A 24841-2019")</f>
        <v/>
      </c>
      <c r="W190">
        <f>HYPERLINK("https://klasma.github.io/Logging_NORRKOPING/klagomålsmail/A 24841-2019.docx", "A 24841-2019")</f>
        <v/>
      </c>
      <c r="X190">
        <f>HYPERLINK("https://klasma.github.io/Logging_NORRKOPING/tillsyn/A 24841-2019.docx", "A 24841-2019")</f>
        <v/>
      </c>
      <c r="Y190">
        <f>HYPERLINK("https://klasma.github.io/Logging_NORRKOPING/tillsynsmail/A 24841-2019.docx", "A 24841-2019")</f>
        <v/>
      </c>
    </row>
    <row r="191" ht="15" customHeight="1">
      <c r="A191" t="inlineStr">
        <is>
          <t>A 25312-2019</t>
        </is>
      </c>
      <c r="B191" s="1" t="n">
        <v>43606</v>
      </c>
      <c r="C191" s="1" t="n">
        <v>45192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9.6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Revlummer</t>
        </is>
      </c>
      <c r="S191">
        <f>HYPERLINK("https://klasma.github.io/Logging_BOXHOLM/artfynd/A 25312-2019.xlsx", "A 25312-2019")</f>
        <v/>
      </c>
      <c r="T191">
        <f>HYPERLINK("https://klasma.github.io/Logging_BOXHOLM/kartor/A 25312-2019.png", "A 25312-2019")</f>
        <v/>
      </c>
      <c r="V191">
        <f>HYPERLINK("https://klasma.github.io/Logging_BOXHOLM/klagomål/A 25312-2019.docx", "A 25312-2019")</f>
        <v/>
      </c>
      <c r="W191">
        <f>HYPERLINK("https://klasma.github.io/Logging_BOXHOLM/klagomålsmail/A 25312-2019.docx", "A 25312-2019")</f>
        <v/>
      </c>
      <c r="X191">
        <f>HYPERLINK("https://klasma.github.io/Logging_BOXHOLM/tillsyn/A 25312-2019.docx", "A 25312-2019")</f>
        <v/>
      </c>
      <c r="Y191">
        <f>HYPERLINK("https://klasma.github.io/Logging_BOXHOLM/tillsynsmail/A 25312-2019.docx", "A 25312-2019")</f>
        <v/>
      </c>
    </row>
    <row r="192" ht="15" customHeight="1">
      <c r="A192" t="inlineStr">
        <is>
          <t>A 26223-2019</t>
        </is>
      </c>
      <c r="B192" s="1" t="n">
        <v>43609</v>
      </c>
      <c r="C192" s="1" t="n">
        <v>45192</v>
      </c>
      <c r="D192" t="inlineStr">
        <is>
          <t>ÖSTERGÖTLANDS LÄN</t>
        </is>
      </c>
      <c r="E192" t="inlineStr">
        <is>
          <t>FINSPÅNG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26223-2019.xlsx", "A 26223-2019")</f>
        <v/>
      </c>
      <c r="T192">
        <f>HYPERLINK("https://klasma.github.io/Logging_FINSPANG/kartor/A 26223-2019.png", "A 26223-2019")</f>
        <v/>
      </c>
      <c r="V192">
        <f>HYPERLINK("https://klasma.github.io/Logging_FINSPANG/klagomål/A 26223-2019.docx", "A 26223-2019")</f>
        <v/>
      </c>
      <c r="W192">
        <f>HYPERLINK("https://klasma.github.io/Logging_FINSPANG/klagomålsmail/A 26223-2019.docx", "A 26223-2019")</f>
        <v/>
      </c>
      <c r="X192">
        <f>HYPERLINK("https://klasma.github.io/Logging_FINSPANG/tillsyn/A 26223-2019.docx", "A 26223-2019")</f>
        <v/>
      </c>
      <c r="Y192">
        <f>HYPERLINK("https://klasma.github.io/Logging_FINSPANG/tillsynsmail/A 26223-2019.docx", "A 26223-2019")</f>
        <v/>
      </c>
    </row>
    <row r="193" ht="15" customHeight="1">
      <c r="A193" t="inlineStr">
        <is>
          <t>A 26227-2019</t>
        </is>
      </c>
      <c r="B193" s="1" t="n">
        <v>43609</v>
      </c>
      <c r="C193" s="1" t="n">
        <v>45192</v>
      </c>
      <c r="D193" t="inlineStr">
        <is>
          <t>ÖSTERGÖTLANDS LÄN</t>
        </is>
      </c>
      <c r="E193" t="inlineStr">
        <is>
          <t>FINSPÅNG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1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Råglosta</t>
        </is>
      </c>
      <c r="S193">
        <f>HYPERLINK("https://klasma.github.io/Logging_FINSPANG/artfynd/A 26227-2019.xlsx", "A 26227-2019")</f>
        <v/>
      </c>
      <c r="T193">
        <f>HYPERLINK("https://klasma.github.io/Logging_FINSPANG/kartor/A 26227-2019.png", "A 26227-2019")</f>
        <v/>
      </c>
      <c r="V193">
        <f>HYPERLINK("https://klasma.github.io/Logging_FINSPANG/klagomål/A 26227-2019.docx", "A 26227-2019")</f>
        <v/>
      </c>
      <c r="W193">
        <f>HYPERLINK("https://klasma.github.io/Logging_FINSPANG/klagomålsmail/A 26227-2019.docx", "A 26227-2019")</f>
        <v/>
      </c>
      <c r="X193">
        <f>HYPERLINK("https://klasma.github.io/Logging_FINSPANG/tillsyn/A 26227-2019.docx", "A 26227-2019")</f>
        <v/>
      </c>
      <c r="Y193">
        <f>HYPERLINK("https://klasma.github.io/Logging_FINSPANG/tillsynsmail/A 26227-2019.docx", "A 26227-2019")</f>
        <v/>
      </c>
    </row>
    <row r="194" ht="15" customHeight="1">
      <c r="A194" t="inlineStr">
        <is>
          <t>A 30060-2019</t>
        </is>
      </c>
      <c r="B194" s="1" t="n">
        <v>43633</v>
      </c>
      <c r="C194" s="1" t="n">
        <v>45192</v>
      </c>
      <c r="D194" t="inlineStr">
        <is>
          <t>ÖSTERGÖTLANDS LÄN</t>
        </is>
      </c>
      <c r="E194" t="inlineStr">
        <is>
          <t>MOTALA</t>
        </is>
      </c>
      <c r="F194" t="inlineStr">
        <is>
          <t>Övriga statliga verk och myndigheter</t>
        </is>
      </c>
      <c r="G194" t="n">
        <v>7.5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Skogsklocka</t>
        </is>
      </c>
      <c r="S194">
        <f>HYPERLINK("https://klasma.github.io/Logging_MOTALA/artfynd/A 30060-2019.xlsx", "A 30060-2019")</f>
        <v/>
      </c>
      <c r="T194">
        <f>HYPERLINK("https://klasma.github.io/Logging_MOTALA/kartor/A 30060-2019.png", "A 30060-2019")</f>
        <v/>
      </c>
      <c r="V194">
        <f>HYPERLINK("https://klasma.github.io/Logging_MOTALA/klagomål/A 30060-2019.docx", "A 30060-2019")</f>
        <v/>
      </c>
      <c r="W194">
        <f>HYPERLINK("https://klasma.github.io/Logging_MOTALA/klagomålsmail/A 30060-2019.docx", "A 30060-2019")</f>
        <v/>
      </c>
      <c r="X194">
        <f>HYPERLINK("https://klasma.github.io/Logging_MOTALA/tillsyn/A 30060-2019.docx", "A 30060-2019")</f>
        <v/>
      </c>
      <c r="Y194">
        <f>HYPERLINK("https://klasma.github.io/Logging_MOTALA/tillsynsmail/A 30060-2019.docx", "A 30060-2019")</f>
        <v/>
      </c>
    </row>
    <row r="195" ht="15" customHeight="1">
      <c r="A195" t="inlineStr">
        <is>
          <t>A 30229-2019</t>
        </is>
      </c>
      <c r="B195" s="1" t="n">
        <v>43633</v>
      </c>
      <c r="C195" s="1" t="n">
        <v>45192</v>
      </c>
      <c r="D195" t="inlineStr">
        <is>
          <t>ÖSTERGÖTLANDS LÄN</t>
        </is>
      </c>
      <c r="E195" t="inlineStr">
        <is>
          <t>FINSPÅNG</t>
        </is>
      </c>
      <c r="G195" t="n">
        <v>5.4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HYPERLINK("https://klasma.github.io/Logging_FINSPANG/artfynd/A 30229-2019.xlsx", "A 30229-2019")</f>
        <v/>
      </c>
      <c r="T195">
        <f>HYPERLINK("https://klasma.github.io/Logging_FINSPANG/kartor/A 30229-2019.png", "A 30229-2019")</f>
        <v/>
      </c>
      <c r="V195">
        <f>HYPERLINK("https://klasma.github.io/Logging_FINSPANG/klagomål/A 30229-2019.docx", "A 30229-2019")</f>
        <v/>
      </c>
      <c r="W195">
        <f>HYPERLINK("https://klasma.github.io/Logging_FINSPANG/klagomålsmail/A 30229-2019.docx", "A 30229-2019")</f>
        <v/>
      </c>
      <c r="X195">
        <f>HYPERLINK("https://klasma.github.io/Logging_FINSPANG/tillsyn/A 30229-2019.docx", "A 30229-2019")</f>
        <v/>
      </c>
      <c r="Y195">
        <f>HYPERLINK("https://klasma.github.io/Logging_FINSPANG/tillsynsmail/A 30229-2019.docx", "A 30229-2019")</f>
        <v/>
      </c>
    </row>
    <row r="196" ht="15" customHeight="1">
      <c r="A196" t="inlineStr">
        <is>
          <t>A 30987-2019</t>
        </is>
      </c>
      <c r="B196" s="1" t="n">
        <v>43640</v>
      </c>
      <c r="C196" s="1" t="n">
        <v>45192</v>
      </c>
      <c r="D196" t="inlineStr">
        <is>
          <t>ÖSTERGÖTLANDS LÄN</t>
        </is>
      </c>
      <c r="E196" t="inlineStr">
        <is>
          <t>NORRKÖPING</t>
        </is>
      </c>
      <c r="F196" t="inlineStr">
        <is>
          <t>Allmännings- och besparingsskogar</t>
        </is>
      </c>
      <c r="G196" t="n">
        <v>1.9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Svinrot</t>
        </is>
      </c>
      <c r="S196">
        <f>HYPERLINK("https://klasma.github.io/Logging_NORRKOPING/artfynd/A 30987-2019.xlsx", "A 30987-2019")</f>
        <v/>
      </c>
      <c r="T196">
        <f>HYPERLINK("https://klasma.github.io/Logging_NORRKOPING/kartor/A 30987-2019.png", "A 30987-2019")</f>
        <v/>
      </c>
      <c r="V196">
        <f>HYPERLINK("https://klasma.github.io/Logging_NORRKOPING/klagomål/A 30987-2019.docx", "A 30987-2019")</f>
        <v/>
      </c>
      <c r="W196">
        <f>HYPERLINK("https://klasma.github.io/Logging_NORRKOPING/klagomålsmail/A 30987-2019.docx", "A 30987-2019")</f>
        <v/>
      </c>
      <c r="X196">
        <f>HYPERLINK("https://klasma.github.io/Logging_NORRKOPING/tillsyn/A 30987-2019.docx", "A 30987-2019")</f>
        <v/>
      </c>
      <c r="Y196">
        <f>HYPERLINK("https://klasma.github.io/Logging_NORRKOPING/tillsynsmail/A 30987-2019.docx", "A 30987-2019")</f>
        <v/>
      </c>
    </row>
    <row r="197" ht="15" customHeight="1">
      <c r="A197" t="inlineStr">
        <is>
          <t>A 34632-2019</t>
        </is>
      </c>
      <c r="B197" s="1" t="n">
        <v>43657</v>
      </c>
      <c r="C197" s="1" t="n">
        <v>45192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Holmen skog AB</t>
        </is>
      </c>
      <c r="G197" t="n">
        <v>1.3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Mattlummer</t>
        </is>
      </c>
      <c r="S197">
        <f>HYPERLINK("https://klasma.github.io/Logging_FINSPANG/artfynd/A 34632-2019.xlsx", "A 34632-2019")</f>
        <v/>
      </c>
      <c r="T197">
        <f>HYPERLINK("https://klasma.github.io/Logging_FINSPANG/kartor/A 34632-2019.png", "A 34632-2019")</f>
        <v/>
      </c>
      <c r="V197">
        <f>HYPERLINK("https://klasma.github.io/Logging_FINSPANG/klagomål/A 34632-2019.docx", "A 34632-2019")</f>
        <v/>
      </c>
      <c r="W197">
        <f>HYPERLINK("https://klasma.github.io/Logging_FINSPANG/klagomålsmail/A 34632-2019.docx", "A 34632-2019")</f>
        <v/>
      </c>
      <c r="X197">
        <f>HYPERLINK("https://klasma.github.io/Logging_FINSPANG/tillsyn/A 34632-2019.docx", "A 34632-2019")</f>
        <v/>
      </c>
      <c r="Y197">
        <f>HYPERLINK("https://klasma.github.io/Logging_FINSPANG/tillsynsmail/A 34632-2019.docx", "A 34632-2019")</f>
        <v/>
      </c>
    </row>
    <row r="198" ht="15" customHeight="1">
      <c r="A198" t="inlineStr">
        <is>
          <t>A 35863-2019</t>
        </is>
      </c>
      <c r="B198" s="1" t="n">
        <v>43665</v>
      </c>
      <c r="C198" s="1" t="n">
        <v>45192</v>
      </c>
      <c r="D198" t="inlineStr">
        <is>
          <t>ÖSTERGÖTLANDS LÄN</t>
        </is>
      </c>
      <c r="E198" t="inlineStr">
        <is>
          <t>YDRE</t>
        </is>
      </c>
      <c r="G198" t="n">
        <v>10.3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Knärot</t>
        </is>
      </c>
      <c r="S198">
        <f>HYPERLINK("https://klasma.github.io/Logging_YDRE/artfynd/A 35863-2019.xlsx", "A 35863-2019")</f>
        <v/>
      </c>
      <c r="T198">
        <f>HYPERLINK("https://klasma.github.io/Logging_YDRE/kartor/A 35863-2019.png", "A 35863-2019")</f>
        <v/>
      </c>
      <c r="U198">
        <f>HYPERLINK("https://klasma.github.io/Logging_YDRE/knärot/A 35863-2019.png", "A 35863-2019")</f>
        <v/>
      </c>
      <c r="V198">
        <f>HYPERLINK("https://klasma.github.io/Logging_YDRE/klagomål/A 35863-2019.docx", "A 35863-2019")</f>
        <v/>
      </c>
      <c r="W198">
        <f>HYPERLINK("https://klasma.github.io/Logging_YDRE/klagomålsmail/A 35863-2019.docx", "A 35863-2019")</f>
        <v/>
      </c>
      <c r="X198">
        <f>HYPERLINK("https://klasma.github.io/Logging_YDRE/tillsyn/A 35863-2019.docx", "A 35863-2019")</f>
        <v/>
      </c>
      <c r="Y198">
        <f>HYPERLINK("https://klasma.github.io/Logging_YDRE/tillsynsmail/A 35863-2019.docx", "A 35863-2019")</f>
        <v/>
      </c>
    </row>
    <row r="199" ht="15" customHeight="1">
      <c r="A199" t="inlineStr">
        <is>
          <t>A 43518-2019</t>
        </is>
      </c>
      <c r="B199" s="1" t="n">
        <v>43706</v>
      </c>
      <c r="C199" s="1" t="n">
        <v>45192</v>
      </c>
      <c r="D199" t="inlineStr">
        <is>
          <t>ÖSTERGÖTLANDS LÄN</t>
        </is>
      </c>
      <c r="E199" t="inlineStr">
        <is>
          <t>LINKÖPING</t>
        </is>
      </c>
      <c r="G199" t="n">
        <v>8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Rävticka</t>
        </is>
      </c>
      <c r="S199">
        <f>HYPERLINK("https://klasma.github.io/Logging_LINKOPING/artfynd/A 43518-2019.xlsx", "A 43518-2019")</f>
        <v/>
      </c>
      <c r="T199">
        <f>HYPERLINK("https://klasma.github.io/Logging_LINKOPING/kartor/A 43518-2019.png", "A 43518-2019")</f>
        <v/>
      </c>
      <c r="V199">
        <f>HYPERLINK("https://klasma.github.io/Logging_LINKOPING/klagomål/A 43518-2019.docx", "A 43518-2019")</f>
        <v/>
      </c>
      <c r="W199">
        <f>HYPERLINK("https://klasma.github.io/Logging_LINKOPING/klagomålsmail/A 43518-2019.docx", "A 43518-2019")</f>
        <v/>
      </c>
      <c r="X199">
        <f>HYPERLINK("https://klasma.github.io/Logging_LINKOPING/tillsyn/A 43518-2019.docx", "A 43518-2019")</f>
        <v/>
      </c>
      <c r="Y199">
        <f>HYPERLINK("https://klasma.github.io/Logging_LINKOPING/tillsynsmail/A 43518-2019.docx", "A 43518-2019")</f>
        <v/>
      </c>
    </row>
    <row r="200" ht="15" customHeight="1">
      <c r="A200" t="inlineStr">
        <is>
          <t>A 49148-2019</t>
        </is>
      </c>
      <c r="B200" s="1" t="n">
        <v>43731</v>
      </c>
      <c r="C200" s="1" t="n">
        <v>45192</v>
      </c>
      <c r="D200" t="inlineStr">
        <is>
          <t>ÖSTERGÖTLANDS LÄN</t>
        </is>
      </c>
      <c r="E200" t="inlineStr">
        <is>
          <t>LINKÖPING</t>
        </is>
      </c>
      <c r="G200" t="n">
        <v>11.6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Tallticka</t>
        </is>
      </c>
      <c r="S200">
        <f>HYPERLINK("https://klasma.github.io/Logging_LINKOPING/artfynd/A 49148-2019.xlsx", "A 49148-2019")</f>
        <v/>
      </c>
      <c r="T200">
        <f>HYPERLINK("https://klasma.github.io/Logging_LINKOPING/kartor/A 49148-2019.png", "A 49148-2019")</f>
        <v/>
      </c>
      <c r="V200">
        <f>HYPERLINK("https://klasma.github.io/Logging_LINKOPING/klagomål/A 49148-2019.docx", "A 49148-2019")</f>
        <v/>
      </c>
      <c r="W200">
        <f>HYPERLINK("https://klasma.github.io/Logging_LINKOPING/klagomålsmail/A 49148-2019.docx", "A 49148-2019")</f>
        <v/>
      </c>
      <c r="X200">
        <f>HYPERLINK("https://klasma.github.io/Logging_LINKOPING/tillsyn/A 49148-2019.docx", "A 49148-2019")</f>
        <v/>
      </c>
      <c r="Y200">
        <f>HYPERLINK("https://klasma.github.io/Logging_LINKOPING/tillsynsmail/A 49148-2019.docx", "A 49148-2019")</f>
        <v/>
      </c>
    </row>
    <row r="201" ht="15" customHeight="1">
      <c r="A201" t="inlineStr">
        <is>
          <t>A 49427-2019</t>
        </is>
      </c>
      <c r="B201" s="1" t="n">
        <v>43732</v>
      </c>
      <c r="C201" s="1" t="n">
        <v>45192</v>
      </c>
      <c r="D201" t="inlineStr">
        <is>
          <t>ÖSTERGÖTLANDS LÄN</t>
        </is>
      </c>
      <c r="E201" t="inlineStr">
        <is>
          <t>MJÖLBY</t>
        </is>
      </c>
      <c r="G201" t="n">
        <v>1.4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Revlummer</t>
        </is>
      </c>
      <c r="S201">
        <f>HYPERLINK("https://klasma.github.io/Logging_MJOLBY/artfynd/A 49427-2019.xlsx", "A 49427-2019")</f>
        <v/>
      </c>
      <c r="T201">
        <f>HYPERLINK("https://klasma.github.io/Logging_MJOLBY/kartor/A 49427-2019.png", "A 49427-2019")</f>
        <v/>
      </c>
      <c r="V201">
        <f>HYPERLINK("https://klasma.github.io/Logging_MJOLBY/klagomål/A 49427-2019.docx", "A 49427-2019")</f>
        <v/>
      </c>
      <c r="W201">
        <f>HYPERLINK("https://klasma.github.io/Logging_MJOLBY/klagomålsmail/A 49427-2019.docx", "A 49427-2019")</f>
        <v/>
      </c>
      <c r="X201">
        <f>HYPERLINK("https://klasma.github.io/Logging_MJOLBY/tillsyn/A 49427-2019.docx", "A 49427-2019")</f>
        <v/>
      </c>
      <c r="Y201">
        <f>HYPERLINK("https://klasma.github.io/Logging_MJOLBY/tillsynsmail/A 49427-2019.docx", "A 49427-2019")</f>
        <v/>
      </c>
    </row>
    <row r="202" ht="15" customHeight="1">
      <c r="A202" t="inlineStr">
        <is>
          <t>A 49556-2019</t>
        </is>
      </c>
      <c r="B202" s="1" t="n">
        <v>43732</v>
      </c>
      <c r="C202" s="1" t="n">
        <v>45192</v>
      </c>
      <c r="D202" t="inlineStr">
        <is>
          <t>ÖSTERGÖTLANDS LÄN</t>
        </is>
      </c>
      <c r="E202" t="inlineStr">
        <is>
          <t>LINKÖPING</t>
        </is>
      </c>
      <c r="F202" t="inlineStr">
        <is>
          <t>Övriga statliga verk och myndigheter</t>
        </is>
      </c>
      <c r="G202" t="n">
        <v>2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Bronshjon</t>
        </is>
      </c>
      <c r="S202">
        <f>HYPERLINK("https://klasma.github.io/Logging_LINKOPING/artfynd/A 49556-2019.xlsx", "A 49556-2019")</f>
        <v/>
      </c>
      <c r="T202">
        <f>HYPERLINK("https://klasma.github.io/Logging_LINKOPING/kartor/A 49556-2019.png", "A 49556-2019")</f>
        <v/>
      </c>
      <c r="V202">
        <f>HYPERLINK("https://klasma.github.io/Logging_LINKOPING/klagomål/A 49556-2019.docx", "A 49556-2019")</f>
        <v/>
      </c>
      <c r="W202">
        <f>HYPERLINK("https://klasma.github.io/Logging_LINKOPING/klagomålsmail/A 49556-2019.docx", "A 49556-2019")</f>
        <v/>
      </c>
      <c r="X202">
        <f>HYPERLINK("https://klasma.github.io/Logging_LINKOPING/tillsyn/A 49556-2019.docx", "A 49556-2019")</f>
        <v/>
      </c>
      <c r="Y202">
        <f>HYPERLINK("https://klasma.github.io/Logging_LINKOPING/tillsynsmail/A 49556-2019.docx", "A 49556-2019")</f>
        <v/>
      </c>
    </row>
    <row r="203" ht="15" customHeight="1">
      <c r="A203" t="inlineStr">
        <is>
          <t>A 49510-2019</t>
        </is>
      </c>
      <c r="B203" s="1" t="n">
        <v>43732</v>
      </c>
      <c r="C203" s="1" t="n">
        <v>45192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3.2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Skogsklocka</t>
        </is>
      </c>
      <c r="S203">
        <f>HYPERLINK("https://klasma.github.io/Logging_BOXHOLM/artfynd/A 49510-2019.xlsx", "A 49510-2019")</f>
        <v/>
      </c>
      <c r="T203">
        <f>HYPERLINK("https://klasma.github.io/Logging_BOXHOLM/kartor/A 49510-2019.png", "A 49510-2019")</f>
        <v/>
      </c>
      <c r="V203">
        <f>HYPERLINK("https://klasma.github.io/Logging_BOXHOLM/klagomål/A 49510-2019.docx", "A 49510-2019")</f>
        <v/>
      </c>
      <c r="W203">
        <f>HYPERLINK("https://klasma.github.io/Logging_BOXHOLM/klagomålsmail/A 49510-2019.docx", "A 49510-2019")</f>
        <v/>
      </c>
      <c r="X203">
        <f>HYPERLINK("https://klasma.github.io/Logging_BOXHOLM/tillsyn/A 49510-2019.docx", "A 49510-2019")</f>
        <v/>
      </c>
      <c r="Y203">
        <f>HYPERLINK("https://klasma.github.io/Logging_BOXHOLM/tillsynsmail/A 49510-2019.docx", "A 49510-2019")</f>
        <v/>
      </c>
    </row>
    <row r="204" ht="15" customHeight="1">
      <c r="A204" t="inlineStr">
        <is>
          <t>A 54164-2019</t>
        </is>
      </c>
      <c r="B204" s="1" t="n">
        <v>43752</v>
      </c>
      <c r="C204" s="1" t="n">
        <v>45192</v>
      </c>
      <c r="D204" t="inlineStr">
        <is>
          <t>ÖSTERGÖTLANDS LÄN</t>
        </is>
      </c>
      <c r="E204" t="inlineStr">
        <is>
          <t>LINKÖPING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1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Ask</t>
        </is>
      </c>
      <c r="S204">
        <f>HYPERLINK("https://klasma.github.io/Logging_LINKOPING/artfynd/A 54164-2019.xlsx", "A 54164-2019")</f>
        <v/>
      </c>
      <c r="T204">
        <f>HYPERLINK("https://klasma.github.io/Logging_LINKOPING/kartor/A 54164-2019.png", "A 54164-2019")</f>
        <v/>
      </c>
      <c r="V204">
        <f>HYPERLINK("https://klasma.github.io/Logging_LINKOPING/klagomål/A 54164-2019.docx", "A 54164-2019")</f>
        <v/>
      </c>
      <c r="W204">
        <f>HYPERLINK("https://klasma.github.io/Logging_LINKOPING/klagomålsmail/A 54164-2019.docx", "A 54164-2019")</f>
        <v/>
      </c>
      <c r="X204">
        <f>HYPERLINK("https://klasma.github.io/Logging_LINKOPING/tillsyn/A 54164-2019.docx", "A 54164-2019")</f>
        <v/>
      </c>
      <c r="Y204">
        <f>HYPERLINK("https://klasma.github.io/Logging_LINKOPING/tillsynsmail/A 54164-2019.docx", "A 54164-2019")</f>
        <v/>
      </c>
    </row>
    <row r="205" ht="15" customHeight="1">
      <c r="A205" t="inlineStr">
        <is>
          <t>A 55658-2019</t>
        </is>
      </c>
      <c r="B205" s="1" t="n">
        <v>43760</v>
      </c>
      <c r="C205" s="1" t="n">
        <v>45192</v>
      </c>
      <c r="D205" t="inlineStr">
        <is>
          <t>ÖSTERGÖTLANDS LÄN</t>
        </is>
      </c>
      <c r="E205" t="inlineStr">
        <is>
          <t>FINSPÅNG</t>
        </is>
      </c>
      <c r="G205" t="n">
        <v>8.4</v>
      </c>
      <c r="H205" t="n">
        <v>0</v>
      </c>
      <c r="I205" t="n">
        <v>0</v>
      </c>
      <c r="J205" t="n">
        <v>0</v>
      </c>
      <c r="K205" t="n">
        <v>1</v>
      </c>
      <c r="L205" t="n">
        <v>0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Raggbock</t>
        </is>
      </c>
      <c r="S205">
        <f>HYPERLINK("https://klasma.github.io/Logging_FINSPANG/artfynd/A 55658-2019.xlsx", "A 55658-2019")</f>
        <v/>
      </c>
      <c r="T205">
        <f>HYPERLINK("https://klasma.github.io/Logging_FINSPANG/kartor/A 55658-2019.png", "A 55658-2019")</f>
        <v/>
      </c>
      <c r="V205">
        <f>HYPERLINK("https://klasma.github.io/Logging_FINSPANG/klagomål/A 55658-2019.docx", "A 55658-2019")</f>
        <v/>
      </c>
      <c r="W205">
        <f>HYPERLINK("https://klasma.github.io/Logging_FINSPANG/klagomålsmail/A 55658-2019.docx", "A 55658-2019")</f>
        <v/>
      </c>
      <c r="X205">
        <f>HYPERLINK("https://klasma.github.io/Logging_FINSPANG/tillsyn/A 55658-2019.docx", "A 55658-2019")</f>
        <v/>
      </c>
      <c r="Y205">
        <f>HYPERLINK("https://klasma.github.io/Logging_FINSPANG/tillsynsmail/A 55658-2019.docx", "A 55658-2019")</f>
        <v/>
      </c>
    </row>
    <row r="206" ht="15" customHeight="1">
      <c r="A206" t="inlineStr">
        <is>
          <t>A 61702-2019</t>
        </is>
      </c>
      <c r="B206" s="1" t="n">
        <v>43784</v>
      </c>
      <c r="C206" s="1" t="n">
        <v>45192</v>
      </c>
      <c r="D206" t="inlineStr">
        <is>
          <t>ÖSTERGÖTLANDS LÄN</t>
        </is>
      </c>
      <c r="E206" t="inlineStr">
        <is>
          <t>LINKÖPING</t>
        </is>
      </c>
      <c r="G206" t="n">
        <v>15.2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Kandelabersvamp</t>
        </is>
      </c>
      <c r="S206">
        <f>HYPERLINK("https://klasma.github.io/Logging_LINKOPING/artfynd/A 61702-2019.xlsx", "A 61702-2019")</f>
        <v/>
      </c>
      <c r="T206">
        <f>HYPERLINK("https://klasma.github.io/Logging_LINKOPING/kartor/A 61702-2019.png", "A 61702-2019")</f>
        <v/>
      </c>
      <c r="V206">
        <f>HYPERLINK("https://klasma.github.io/Logging_LINKOPING/klagomål/A 61702-2019.docx", "A 61702-2019")</f>
        <v/>
      </c>
      <c r="W206">
        <f>HYPERLINK("https://klasma.github.io/Logging_LINKOPING/klagomålsmail/A 61702-2019.docx", "A 61702-2019")</f>
        <v/>
      </c>
      <c r="X206">
        <f>HYPERLINK("https://klasma.github.io/Logging_LINKOPING/tillsyn/A 61702-2019.docx", "A 61702-2019")</f>
        <v/>
      </c>
      <c r="Y206">
        <f>HYPERLINK("https://klasma.github.io/Logging_LINKOPING/tillsynsmail/A 61702-2019.docx", "A 61702-2019")</f>
        <v/>
      </c>
    </row>
    <row r="207" ht="15" customHeight="1">
      <c r="A207" t="inlineStr">
        <is>
          <t>A 66093-2019</t>
        </is>
      </c>
      <c r="B207" s="1" t="n">
        <v>43807</v>
      </c>
      <c r="C207" s="1" t="n">
        <v>45192</v>
      </c>
      <c r="D207" t="inlineStr">
        <is>
          <t>ÖSTERGÖTLANDS LÄN</t>
        </is>
      </c>
      <c r="E207" t="inlineStr">
        <is>
          <t>KINDA</t>
        </is>
      </c>
      <c r="G207" t="n">
        <v>3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HYPERLINK("https://klasma.github.io/Logging_KINDA/artfynd/A 66093-2019.xlsx", "A 66093-2019")</f>
        <v/>
      </c>
      <c r="T207">
        <f>HYPERLINK("https://klasma.github.io/Logging_KINDA/kartor/A 66093-2019.png", "A 66093-2019")</f>
        <v/>
      </c>
      <c r="V207">
        <f>HYPERLINK("https://klasma.github.io/Logging_KINDA/klagomål/A 66093-2019.docx", "A 66093-2019")</f>
        <v/>
      </c>
      <c r="W207">
        <f>HYPERLINK("https://klasma.github.io/Logging_KINDA/klagomålsmail/A 66093-2019.docx", "A 66093-2019")</f>
        <v/>
      </c>
      <c r="X207">
        <f>HYPERLINK("https://klasma.github.io/Logging_KINDA/tillsyn/A 66093-2019.docx", "A 66093-2019")</f>
        <v/>
      </c>
      <c r="Y207">
        <f>HYPERLINK("https://klasma.github.io/Logging_KINDA/tillsynsmail/A 66093-2019.docx", "A 66093-2019")</f>
        <v/>
      </c>
    </row>
    <row r="208" ht="15" customHeight="1">
      <c r="A208" t="inlineStr">
        <is>
          <t>A 67658-2019</t>
        </is>
      </c>
      <c r="B208" s="1" t="n">
        <v>43809</v>
      </c>
      <c r="C208" s="1" t="n">
        <v>45192</v>
      </c>
      <c r="D208" t="inlineStr">
        <is>
          <t>ÖSTERGÖTLANDS LÄN</t>
        </is>
      </c>
      <c r="E208" t="inlineStr">
        <is>
          <t>KINDA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HYPERLINK("https://klasma.github.io/Logging_KINDA/artfynd/A 67658-2019.xlsx", "A 67658-2019")</f>
        <v/>
      </c>
      <c r="T208">
        <f>HYPERLINK("https://klasma.github.io/Logging_KINDA/kartor/A 67658-2019.png", "A 67658-2019")</f>
        <v/>
      </c>
      <c r="V208">
        <f>HYPERLINK("https://klasma.github.io/Logging_KINDA/klagomål/A 67658-2019.docx", "A 67658-2019")</f>
        <v/>
      </c>
      <c r="W208">
        <f>HYPERLINK("https://klasma.github.io/Logging_KINDA/klagomålsmail/A 67658-2019.docx", "A 67658-2019")</f>
        <v/>
      </c>
      <c r="X208">
        <f>HYPERLINK("https://klasma.github.io/Logging_KINDA/tillsyn/A 67658-2019.docx", "A 67658-2019")</f>
        <v/>
      </c>
      <c r="Y208">
        <f>HYPERLINK("https://klasma.github.io/Logging_KINDA/tillsynsmail/A 67658-2019.docx", "A 67658-2019")</f>
        <v/>
      </c>
    </row>
    <row r="209" ht="15" customHeight="1">
      <c r="A209" t="inlineStr">
        <is>
          <t>A 2350-2020</t>
        </is>
      </c>
      <c r="B209" s="1" t="n">
        <v>43846</v>
      </c>
      <c r="C209" s="1" t="n">
        <v>45192</v>
      </c>
      <c r="D209" t="inlineStr">
        <is>
          <t>ÖSTERGÖTLANDS LÄN</t>
        </is>
      </c>
      <c r="E209" t="inlineStr">
        <is>
          <t>FINSPÅNG</t>
        </is>
      </c>
      <c r="F209" t="inlineStr">
        <is>
          <t>Övriga Aktiebolag</t>
        </is>
      </c>
      <c r="G209" t="n">
        <v>5.7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Ullticka</t>
        </is>
      </c>
      <c r="S209">
        <f>HYPERLINK("https://klasma.github.io/Logging_FINSPANG/artfynd/A 2350-2020.xlsx", "A 2350-2020")</f>
        <v/>
      </c>
      <c r="T209">
        <f>HYPERLINK("https://klasma.github.io/Logging_FINSPANG/kartor/A 2350-2020.png", "A 2350-2020")</f>
        <v/>
      </c>
      <c r="V209">
        <f>HYPERLINK("https://klasma.github.io/Logging_FINSPANG/klagomål/A 2350-2020.docx", "A 2350-2020")</f>
        <v/>
      </c>
      <c r="W209">
        <f>HYPERLINK("https://klasma.github.io/Logging_FINSPANG/klagomålsmail/A 2350-2020.docx", "A 2350-2020")</f>
        <v/>
      </c>
      <c r="X209">
        <f>HYPERLINK("https://klasma.github.io/Logging_FINSPANG/tillsyn/A 2350-2020.docx", "A 2350-2020")</f>
        <v/>
      </c>
      <c r="Y209">
        <f>HYPERLINK("https://klasma.github.io/Logging_FINSPANG/tillsynsmail/A 2350-2020.docx", "A 2350-2020")</f>
        <v/>
      </c>
    </row>
    <row r="210" ht="15" customHeight="1">
      <c r="A210" t="inlineStr">
        <is>
          <t>A 3021-2020</t>
        </is>
      </c>
      <c r="B210" s="1" t="n">
        <v>43851</v>
      </c>
      <c r="C210" s="1" t="n">
        <v>45192</v>
      </c>
      <c r="D210" t="inlineStr">
        <is>
          <t>ÖSTERGÖTLANDS LÄN</t>
        </is>
      </c>
      <c r="E210" t="inlineStr">
        <is>
          <t>FINSPÅNG</t>
        </is>
      </c>
      <c r="G210" t="n">
        <v>6.1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Skogsklocka</t>
        </is>
      </c>
      <c r="S210">
        <f>HYPERLINK("https://klasma.github.io/Logging_FINSPANG/artfynd/A 3021-2020.xlsx", "A 3021-2020")</f>
        <v/>
      </c>
      <c r="T210">
        <f>HYPERLINK("https://klasma.github.io/Logging_FINSPANG/kartor/A 3021-2020.png", "A 3021-2020")</f>
        <v/>
      </c>
      <c r="V210">
        <f>HYPERLINK("https://klasma.github.io/Logging_FINSPANG/klagomål/A 3021-2020.docx", "A 3021-2020")</f>
        <v/>
      </c>
      <c r="W210">
        <f>HYPERLINK("https://klasma.github.io/Logging_FINSPANG/klagomålsmail/A 3021-2020.docx", "A 3021-2020")</f>
        <v/>
      </c>
      <c r="X210">
        <f>HYPERLINK("https://klasma.github.io/Logging_FINSPANG/tillsyn/A 3021-2020.docx", "A 3021-2020")</f>
        <v/>
      </c>
      <c r="Y210">
        <f>HYPERLINK("https://klasma.github.io/Logging_FINSPANG/tillsynsmail/A 3021-2020.docx", "A 3021-2020")</f>
        <v/>
      </c>
    </row>
    <row r="211" ht="15" customHeight="1">
      <c r="A211" t="inlineStr">
        <is>
          <t>A 6775-2020</t>
        </is>
      </c>
      <c r="B211" s="1" t="n">
        <v>43867</v>
      </c>
      <c r="C211" s="1" t="n">
        <v>45192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Övriga Aktiebolag</t>
        </is>
      </c>
      <c r="G211" t="n">
        <v>10.8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Blomkålssvamp</t>
        </is>
      </c>
      <c r="S211">
        <f>HYPERLINK("https://klasma.github.io/Logging_FINSPANG/artfynd/A 6775-2020.xlsx", "A 6775-2020")</f>
        <v/>
      </c>
      <c r="T211">
        <f>HYPERLINK("https://klasma.github.io/Logging_FINSPANG/kartor/A 6775-2020.png", "A 6775-2020")</f>
        <v/>
      </c>
      <c r="V211">
        <f>HYPERLINK("https://klasma.github.io/Logging_FINSPANG/klagomål/A 6775-2020.docx", "A 6775-2020")</f>
        <v/>
      </c>
      <c r="W211">
        <f>HYPERLINK("https://klasma.github.io/Logging_FINSPANG/klagomålsmail/A 6775-2020.docx", "A 6775-2020")</f>
        <v/>
      </c>
      <c r="X211">
        <f>HYPERLINK("https://klasma.github.io/Logging_FINSPANG/tillsyn/A 6775-2020.docx", "A 6775-2020")</f>
        <v/>
      </c>
      <c r="Y211">
        <f>HYPERLINK("https://klasma.github.io/Logging_FINSPANG/tillsynsmail/A 6775-2020.docx", "A 6775-2020")</f>
        <v/>
      </c>
    </row>
    <row r="212" ht="15" customHeight="1">
      <c r="A212" t="inlineStr">
        <is>
          <t>A 7268-2020</t>
        </is>
      </c>
      <c r="B212" s="1" t="n">
        <v>43871</v>
      </c>
      <c r="C212" s="1" t="n">
        <v>45192</v>
      </c>
      <c r="D212" t="inlineStr">
        <is>
          <t>ÖSTERGÖTLANDS LÄN</t>
        </is>
      </c>
      <c r="E212" t="inlineStr">
        <is>
          <t>VADSTENA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1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Bohuslind</t>
        </is>
      </c>
      <c r="S212">
        <f>HYPERLINK("https://klasma.github.io/Logging_VADSTENA/artfynd/A 7268-2020.xlsx", "A 7268-2020")</f>
        <v/>
      </c>
      <c r="T212">
        <f>HYPERLINK("https://klasma.github.io/Logging_VADSTENA/kartor/A 7268-2020.png", "A 7268-2020")</f>
        <v/>
      </c>
      <c r="V212">
        <f>HYPERLINK("https://klasma.github.io/Logging_VADSTENA/klagomål/A 7268-2020.docx", "A 7268-2020")</f>
        <v/>
      </c>
      <c r="W212">
        <f>HYPERLINK("https://klasma.github.io/Logging_VADSTENA/klagomålsmail/A 7268-2020.docx", "A 7268-2020")</f>
        <v/>
      </c>
      <c r="X212">
        <f>HYPERLINK("https://klasma.github.io/Logging_VADSTENA/tillsyn/A 7268-2020.docx", "A 7268-2020")</f>
        <v/>
      </c>
      <c r="Y212">
        <f>HYPERLINK("https://klasma.github.io/Logging_VADSTENA/tillsynsmail/A 7268-2020.docx", "A 7268-2020")</f>
        <v/>
      </c>
    </row>
    <row r="213" ht="15" customHeight="1">
      <c r="A213" t="inlineStr">
        <is>
          <t>A 7241-2020</t>
        </is>
      </c>
      <c r="B213" s="1" t="n">
        <v>43871</v>
      </c>
      <c r="C213" s="1" t="n">
        <v>45192</v>
      </c>
      <c r="D213" t="inlineStr">
        <is>
          <t>ÖSTERGÖTLANDS LÄN</t>
        </is>
      </c>
      <c r="E213" t="inlineStr">
        <is>
          <t>ÅTVIDABERG</t>
        </is>
      </c>
      <c r="G213" t="n">
        <v>3.8</v>
      </c>
      <c r="H213" t="n">
        <v>1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Skogsknipprot</t>
        </is>
      </c>
      <c r="S213">
        <f>HYPERLINK("https://klasma.github.io/Logging_ATVIDABERG/artfynd/A 7241-2020.xlsx", "A 7241-2020")</f>
        <v/>
      </c>
      <c r="T213">
        <f>HYPERLINK("https://klasma.github.io/Logging_ATVIDABERG/kartor/A 7241-2020.png", "A 7241-2020")</f>
        <v/>
      </c>
      <c r="V213">
        <f>HYPERLINK("https://klasma.github.io/Logging_ATVIDABERG/klagomål/A 7241-2020.docx", "A 7241-2020")</f>
        <v/>
      </c>
      <c r="W213">
        <f>HYPERLINK("https://klasma.github.io/Logging_ATVIDABERG/klagomålsmail/A 7241-2020.docx", "A 7241-2020")</f>
        <v/>
      </c>
      <c r="X213">
        <f>HYPERLINK("https://klasma.github.io/Logging_ATVIDABERG/tillsyn/A 7241-2020.docx", "A 7241-2020")</f>
        <v/>
      </c>
      <c r="Y213">
        <f>HYPERLINK("https://klasma.github.io/Logging_ATVIDABERG/tillsynsmail/A 7241-2020.docx", "A 7241-2020")</f>
        <v/>
      </c>
    </row>
    <row r="214" ht="15" customHeight="1">
      <c r="A214" t="inlineStr">
        <is>
          <t>A 9074-2020</t>
        </is>
      </c>
      <c r="B214" s="1" t="n">
        <v>43879</v>
      </c>
      <c r="C214" s="1" t="n">
        <v>45192</v>
      </c>
      <c r="D214" t="inlineStr">
        <is>
          <t>ÖSTERGÖTLANDS LÄN</t>
        </is>
      </c>
      <c r="E214" t="inlineStr">
        <is>
          <t>KINDA</t>
        </is>
      </c>
      <c r="F214" t="inlineStr">
        <is>
          <t>Sveaskog</t>
        </is>
      </c>
      <c r="G214" t="n">
        <v>3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HYPERLINK("https://klasma.github.io/Logging_KINDA/artfynd/A 9074-2020.xlsx", "A 9074-2020")</f>
        <v/>
      </c>
      <c r="T214">
        <f>HYPERLINK("https://klasma.github.io/Logging_KINDA/kartor/A 9074-2020.png", "A 9074-2020")</f>
        <v/>
      </c>
      <c r="V214">
        <f>HYPERLINK("https://klasma.github.io/Logging_KINDA/klagomål/A 9074-2020.docx", "A 9074-2020")</f>
        <v/>
      </c>
      <c r="W214">
        <f>HYPERLINK("https://klasma.github.io/Logging_KINDA/klagomålsmail/A 9074-2020.docx", "A 9074-2020")</f>
        <v/>
      </c>
      <c r="X214">
        <f>HYPERLINK("https://klasma.github.io/Logging_KINDA/tillsyn/A 9074-2020.docx", "A 9074-2020")</f>
        <v/>
      </c>
      <c r="Y214">
        <f>HYPERLINK("https://klasma.github.io/Logging_KINDA/tillsynsmail/A 9074-2020.docx", "A 9074-2020")</f>
        <v/>
      </c>
    </row>
    <row r="215" ht="15" customHeight="1">
      <c r="A215" t="inlineStr">
        <is>
          <t>A 9820-2020</t>
        </is>
      </c>
      <c r="B215" s="1" t="n">
        <v>43881</v>
      </c>
      <c r="C215" s="1" t="n">
        <v>45192</v>
      </c>
      <c r="D215" t="inlineStr">
        <is>
          <t>ÖSTERGÖTLANDS LÄN</t>
        </is>
      </c>
      <c r="E215" t="inlineStr">
        <is>
          <t>LINKÖPING</t>
        </is>
      </c>
      <c r="F215" t="inlineStr">
        <is>
          <t>Allmännings- och besparingsskogar</t>
        </is>
      </c>
      <c r="G215" t="n">
        <v>24.8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Ekticka</t>
        </is>
      </c>
      <c r="S215">
        <f>HYPERLINK("https://klasma.github.io/Logging_LINKOPING/artfynd/A 9820-2020.xlsx", "A 9820-2020")</f>
        <v/>
      </c>
      <c r="T215">
        <f>HYPERLINK("https://klasma.github.io/Logging_LINKOPING/kartor/A 9820-2020.png", "A 9820-2020")</f>
        <v/>
      </c>
      <c r="V215">
        <f>HYPERLINK("https://klasma.github.io/Logging_LINKOPING/klagomål/A 9820-2020.docx", "A 9820-2020")</f>
        <v/>
      </c>
      <c r="W215">
        <f>HYPERLINK("https://klasma.github.io/Logging_LINKOPING/klagomålsmail/A 9820-2020.docx", "A 9820-2020")</f>
        <v/>
      </c>
      <c r="X215">
        <f>HYPERLINK("https://klasma.github.io/Logging_LINKOPING/tillsyn/A 9820-2020.docx", "A 9820-2020")</f>
        <v/>
      </c>
      <c r="Y215">
        <f>HYPERLINK("https://klasma.github.io/Logging_LINKOPING/tillsynsmail/A 9820-2020.docx", "A 9820-2020")</f>
        <v/>
      </c>
    </row>
    <row r="216" ht="15" customHeight="1">
      <c r="A216" t="inlineStr">
        <is>
          <t>A 10926-2020</t>
        </is>
      </c>
      <c r="B216" s="1" t="n">
        <v>43889</v>
      </c>
      <c r="C216" s="1" t="n">
        <v>45192</v>
      </c>
      <c r="D216" t="inlineStr">
        <is>
          <t>ÖSTERGÖTLANDS LÄN</t>
        </is>
      </c>
      <c r="E216" t="inlineStr">
        <is>
          <t>MOTALA</t>
        </is>
      </c>
      <c r="G216" t="n">
        <v>2.4</v>
      </c>
      <c r="H216" t="n">
        <v>1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Buskvicker</t>
        </is>
      </c>
      <c r="S216">
        <f>HYPERLINK("https://klasma.github.io/Logging_MOTALA/artfynd/A 10926-2020.xlsx", "A 10926-2020")</f>
        <v/>
      </c>
      <c r="T216">
        <f>HYPERLINK("https://klasma.github.io/Logging_MOTALA/kartor/A 10926-2020.png", "A 10926-2020")</f>
        <v/>
      </c>
      <c r="V216">
        <f>HYPERLINK("https://klasma.github.io/Logging_MOTALA/klagomål/A 10926-2020.docx", "A 10926-2020")</f>
        <v/>
      </c>
      <c r="W216">
        <f>HYPERLINK("https://klasma.github.io/Logging_MOTALA/klagomålsmail/A 10926-2020.docx", "A 10926-2020")</f>
        <v/>
      </c>
      <c r="X216">
        <f>HYPERLINK("https://klasma.github.io/Logging_MOTALA/tillsyn/A 10926-2020.docx", "A 10926-2020")</f>
        <v/>
      </c>
      <c r="Y216">
        <f>HYPERLINK("https://klasma.github.io/Logging_MOTALA/tillsynsmail/A 10926-2020.docx", "A 10926-2020")</f>
        <v/>
      </c>
    </row>
    <row r="217" ht="15" customHeight="1">
      <c r="A217" t="inlineStr">
        <is>
          <t>A 14835-2020</t>
        </is>
      </c>
      <c r="B217" s="1" t="n">
        <v>43909</v>
      </c>
      <c r="C217" s="1" t="n">
        <v>45192</v>
      </c>
      <c r="D217" t="inlineStr">
        <is>
          <t>ÖSTERGÖTLANDS LÄN</t>
        </is>
      </c>
      <c r="E217" t="inlineStr">
        <is>
          <t>FINSPÅNG</t>
        </is>
      </c>
      <c r="F217" t="inlineStr">
        <is>
          <t>Övriga Aktiebolag</t>
        </is>
      </c>
      <c r="G217" t="n">
        <v>9.9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Vedtrappmossa</t>
        </is>
      </c>
      <c r="S217">
        <f>HYPERLINK("https://klasma.github.io/Logging_FINSPANG/artfynd/A 14835-2020.xlsx", "A 14835-2020")</f>
        <v/>
      </c>
      <c r="T217">
        <f>HYPERLINK("https://klasma.github.io/Logging_FINSPANG/kartor/A 14835-2020.png", "A 14835-2020")</f>
        <v/>
      </c>
      <c r="V217">
        <f>HYPERLINK("https://klasma.github.io/Logging_FINSPANG/klagomål/A 14835-2020.docx", "A 14835-2020")</f>
        <v/>
      </c>
      <c r="W217">
        <f>HYPERLINK("https://klasma.github.io/Logging_FINSPANG/klagomålsmail/A 14835-2020.docx", "A 14835-2020")</f>
        <v/>
      </c>
      <c r="X217">
        <f>HYPERLINK("https://klasma.github.io/Logging_FINSPANG/tillsyn/A 14835-2020.docx", "A 14835-2020")</f>
        <v/>
      </c>
      <c r="Y217">
        <f>HYPERLINK("https://klasma.github.io/Logging_FINSPANG/tillsynsmail/A 14835-2020.docx", "A 14835-2020")</f>
        <v/>
      </c>
    </row>
    <row r="218" ht="15" customHeight="1">
      <c r="A218" t="inlineStr">
        <is>
          <t>A 14959-2020</t>
        </is>
      </c>
      <c r="B218" s="1" t="n">
        <v>43910</v>
      </c>
      <c r="C218" s="1" t="n">
        <v>45192</v>
      </c>
      <c r="D218" t="inlineStr">
        <is>
          <t>ÖSTERGÖTLANDS LÄN</t>
        </is>
      </c>
      <c r="E218" t="inlineStr">
        <is>
          <t>YDRE</t>
        </is>
      </c>
      <c r="G218" t="n">
        <v>1.4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Smal guldkornsfibbla</t>
        </is>
      </c>
      <c r="S218">
        <f>HYPERLINK("https://klasma.github.io/Logging_YDRE/artfynd/A 14959-2020.xlsx", "A 14959-2020")</f>
        <v/>
      </c>
      <c r="T218">
        <f>HYPERLINK("https://klasma.github.io/Logging_YDRE/kartor/A 14959-2020.png", "A 14959-2020")</f>
        <v/>
      </c>
      <c r="V218">
        <f>HYPERLINK("https://klasma.github.io/Logging_YDRE/klagomål/A 14959-2020.docx", "A 14959-2020")</f>
        <v/>
      </c>
      <c r="W218">
        <f>HYPERLINK("https://klasma.github.io/Logging_YDRE/klagomålsmail/A 14959-2020.docx", "A 14959-2020")</f>
        <v/>
      </c>
      <c r="X218">
        <f>HYPERLINK("https://klasma.github.io/Logging_YDRE/tillsyn/A 14959-2020.docx", "A 14959-2020")</f>
        <v/>
      </c>
      <c r="Y218">
        <f>HYPERLINK("https://klasma.github.io/Logging_YDRE/tillsynsmail/A 14959-2020.docx", "A 14959-2020")</f>
        <v/>
      </c>
    </row>
    <row r="219" ht="15" customHeight="1">
      <c r="A219" t="inlineStr">
        <is>
          <t>A 15742-2020</t>
        </is>
      </c>
      <c r="B219" s="1" t="n">
        <v>43915</v>
      </c>
      <c r="C219" s="1" t="n">
        <v>45192</v>
      </c>
      <c r="D219" t="inlineStr">
        <is>
          <t>ÖSTERGÖTLANDS LÄN</t>
        </is>
      </c>
      <c r="E219" t="inlineStr">
        <is>
          <t>LINKÖPING</t>
        </is>
      </c>
      <c r="G219" t="n">
        <v>1.6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Skogsbräsma</t>
        </is>
      </c>
      <c r="S219">
        <f>HYPERLINK("https://klasma.github.io/Logging_LINKOPING/artfynd/A 15742-2020.xlsx", "A 15742-2020")</f>
        <v/>
      </c>
      <c r="T219">
        <f>HYPERLINK("https://klasma.github.io/Logging_LINKOPING/kartor/A 15742-2020.png", "A 15742-2020")</f>
        <v/>
      </c>
      <c r="V219">
        <f>HYPERLINK("https://klasma.github.io/Logging_LINKOPING/klagomål/A 15742-2020.docx", "A 15742-2020")</f>
        <v/>
      </c>
      <c r="W219">
        <f>HYPERLINK("https://klasma.github.io/Logging_LINKOPING/klagomålsmail/A 15742-2020.docx", "A 15742-2020")</f>
        <v/>
      </c>
      <c r="X219">
        <f>HYPERLINK("https://klasma.github.io/Logging_LINKOPING/tillsyn/A 15742-2020.docx", "A 15742-2020")</f>
        <v/>
      </c>
      <c r="Y219">
        <f>HYPERLINK("https://klasma.github.io/Logging_LINKOPING/tillsynsmail/A 15742-2020.docx", "A 15742-2020")</f>
        <v/>
      </c>
    </row>
    <row r="220" ht="15" customHeight="1">
      <c r="A220" t="inlineStr">
        <is>
          <t>A 16730-2020</t>
        </is>
      </c>
      <c r="B220" s="1" t="n">
        <v>43920</v>
      </c>
      <c r="C220" s="1" t="n">
        <v>45192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Skuggmossa</t>
        </is>
      </c>
      <c r="S220">
        <f>HYPERLINK("https://klasma.github.io/Logging_MOTALA/artfynd/A 16730-2020.xlsx", "A 16730-2020")</f>
        <v/>
      </c>
      <c r="T220">
        <f>HYPERLINK("https://klasma.github.io/Logging_MOTALA/kartor/A 16730-2020.png", "A 16730-2020")</f>
        <v/>
      </c>
      <c r="V220">
        <f>HYPERLINK("https://klasma.github.io/Logging_MOTALA/klagomål/A 16730-2020.docx", "A 16730-2020")</f>
        <v/>
      </c>
      <c r="W220">
        <f>HYPERLINK("https://klasma.github.io/Logging_MOTALA/klagomålsmail/A 16730-2020.docx", "A 16730-2020")</f>
        <v/>
      </c>
      <c r="X220">
        <f>HYPERLINK("https://klasma.github.io/Logging_MOTALA/tillsyn/A 16730-2020.docx", "A 16730-2020")</f>
        <v/>
      </c>
      <c r="Y220">
        <f>HYPERLINK("https://klasma.github.io/Logging_MOTALA/tillsynsmail/A 16730-2020.docx", "A 16730-2020")</f>
        <v/>
      </c>
    </row>
    <row r="221" ht="15" customHeight="1">
      <c r="A221" t="inlineStr">
        <is>
          <t>A 18902-2020</t>
        </is>
      </c>
      <c r="B221" s="1" t="n">
        <v>43935</v>
      </c>
      <c r="C221" s="1" t="n">
        <v>45192</v>
      </c>
      <c r="D221" t="inlineStr">
        <is>
          <t>ÖSTERGÖTLANDS LÄN</t>
        </is>
      </c>
      <c r="E221" t="inlineStr">
        <is>
          <t>NORRKÖPING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HYPERLINK("https://klasma.github.io/Logging_NORRKOPING/artfynd/A 18902-2020.xlsx", "A 18902-2020")</f>
        <v/>
      </c>
      <c r="T221">
        <f>HYPERLINK("https://klasma.github.io/Logging_NORRKOPING/kartor/A 18902-2020.png", "A 18902-2020")</f>
        <v/>
      </c>
      <c r="V221">
        <f>HYPERLINK("https://klasma.github.io/Logging_NORRKOPING/klagomål/A 18902-2020.docx", "A 18902-2020")</f>
        <v/>
      </c>
      <c r="W221">
        <f>HYPERLINK("https://klasma.github.io/Logging_NORRKOPING/klagomålsmail/A 18902-2020.docx", "A 18902-2020")</f>
        <v/>
      </c>
      <c r="X221">
        <f>HYPERLINK("https://klasma.github.io/Logging_NORRKOPING/tillsyn/A 18902-2020.docx", "A 18902-2020")</f>
        <v/>
      </c>
      <c r="Y221">
        <f>HYPERLINK("https://klasma.github.io/Logging_NORRKOPING/tillsynsmail/A 18902-2020.docx", "A 18902-2020")</f>
        <v/>
      </c>
    </row>
    <row r="222" ht="15" customHeight="1">
      <c r="A222" t="inlineStr">
        <is>
          <t>A 19096-2020</t>
        </is>
      </c>
      <c r="B222" s="1" t="n">
        <v>43936</v>
      </c>
      <c r="C222" s="1" t="n">
        <v>45192</v>
      </c>
      <c r="D222" t="inlineStr">
        <is>
          <t>ÖSTERGÖTLANDS LÄN</t>
        </is>
      </c>
      <c r="E222" t="inlineStr">
        <is>
          <t>MOTALA</t>
        </is>
      </c>
      <c r="F222" t="inlineStr">
        <is>
          <t>Sveaskog</t>
        </is>
      </c>
      <c r="G222" t="n">
        <v>2.2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Västlig hakmossa</t>
        </is>
      </c>
      <c r="S222">
        <f>HYPERLINK("https://klasma.github.io/Logging_MOTALA/artfynd/A 19096-2020.xlsx", "A 19096-2020")</f>
        <v/>
      </c>
      <c r="T222">
        <f>HYPERLINK("https://klasma.github.io/Logging_MOTALA/kartor/A 19096-2020.png", "A 19096-2020")</f>
        <v/>
      </c>
      <c r="V222">
        <f>HYPERLINK("https://klasma.github.io/Logging_MOTALA/klagomål/A 19096-2020.docx", "A 19096-2020")</f>
        <v/>
      </c>
      <c r="W222">
        <f>HYPERLINK("https://klasma.github.io/Logging_MOTALA/klagomålsmail/A 19096-2020.docx", "A 19096-2020")</f>
        <v/>
      </c>
      <c r="X222">
        <f>HYPERLINK("https://klasma.github.io/Logging_MOTALA/tillsyn/A 19096-2020.docx", "A 19096-2020")</f>
        <v/>
      </c>
      <c r="Y222">
        <f>HYPERLINK("https://klasma.github.io/Logging_MOTALA/tillsynsmail/A 19096-2020.docx", "A 19096-2020")</f>
        <v/>
      </c>
    </row>
    <row r="223" ht="15" customHeight="1">
      <c r="A223" t="inlineStr">
        <is>
          <t>A 24118-2020</t>
        </is>
      </c>
      <c r="B223" s="1" t="n">
        <v>43973</v>
      </c>
      <c r="C223" s="1" t="n">
        <v>45192</v>
      </c>
      <c r="D223" t="inlineStr">
        <is>
          <t>ÖSTERGÖTLANDS LÄN</t>
        </is>
      </c>
      <c r="E223" t="inlineStr">
        <is>
          <t>VALDEMARSVIK</t>
        </is>
      </c>
      <c r="G223" t="n">
        <v>2.5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Sårläka</t>
        </is>
      </c>
      <c r="S223">
        <f>HYPERLINK("https://klasma.github.io/Logging_VALDEMARSVIK/artfynd/A 24118-2020.xlsx", "A 24118-2020")</f>
        <v/>
      </c>
      <c r="T223">
        <f>HYPERLINK("https://klasma.github.io/Logging_VALDEMARSVIK/kartor/A 24118-2020.png", "A 24118-2020")</f>
        <v/>
      </c>
      <c r="V223">
        <f>HYPERLINK("https://klasma.github.io/Logging_VALDEMARSVIK/klagomål/A 24118-2020.docx", "A 24118-2020")</f>
        <v/>
      </c>
      <c r="W223">
        <f>HYPERLINK("https://klasma.github.io/Logging_VALDEMARSVIK/klagomålsmail/A 24118-2020.docx", "A 24118-2020")</f>
        <v/>
      </c>
      <c r="X223">
        <f>HYPERLINK("https://klasma.github.io/Logging_VALDEMARSVIK/tillsyn/A 24118-2020.docx", "A 24118-2020")</f>
        <v/>
      </c>
      <c r="Y223">
        <f>HYPERLINK("https://klasma.github.io/Logging_VALDEMARSVIK/tillsynsmail/A 24118-2020.docx", "A 24118-2020")</f>
        <v/>
      </c>
    </row>
    <row r="224" ht="15" customHeight="1">
      <c r="A224" t="inlineStr">
        <is>
          <t>A 26728-2020</t>
        </is>
      </c>
      <c r="B224" s="1" t="n">
        <v>43990</v>
      </c>
      <c r="C224" s="1" t="n">
        <v>45192</v>
      </c>
      <c r="D224" t="inlineStr">
        <is>
          <t>ÖSTERGÖTLANDS LÄN</t>
        </is>
      </c>
      <c r="E224" t="inlineStr">
        <is>
          <t>KINDA</t>
        </is>
      </c>
      <c r="F224" t="inlineStr">
        <is>
          <t>Sveaskog</t>
        </is>
      </c>
      <c r="G224" t="n">
        <v>1.5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Motaggsvamp</t>
        </is>
      </c>
      <c r="S224">
        <f>HYPERLINK("https://klasma.github.io/Logging_KINDA/artfynd/A 26728-2020.xlsx", "A 26728-2020")</f>
        <v/>
      </c>
      <c r="T224">
        <f>HYPERLINK("https://klasma.github.io/Logging_KINDA/kartor/A 26728-2020.png", "A 26728-2020")</f>
        <v/>
      </c>
      <c r="V224">
        <f>HYPERLINK("https://klasma.github.io/Logging_KINDA/klagomål/A 26728-2020.docx", "A 26728-2020")</f>
        <v/>
      </c>
      <c r="W224">
        <f>HYPERLINK("https://klasma.github.io/Logging_KINDA/klagomålsmail/A 26728-2020.docx", "A 26728-2020")</f>
        <v/>
      </c>
      <c r="X224">
        <f>HYPERLINK("https://klasma.github.io/Logging_KINDA/tillsyn/A 26728-2020.docx", "A 26728-2020")</f>
        <v/>
      </c>
      <c r="Y224">
        <f>HYPERLINK("https://klasma.github.io/Logging_KINDA/tillsynsmail/A 26728-2020.docx", "A 26728-2020")</f>
        <v/>
      </c>
    </row>
    <row r="225" ht="15" customHeight="1">
      <c r="A225" t="inlineStr">
        <is>
          <t>A 27514-2020</t>
        </is>
      </c>
      <c r="B225" s="1" t="n">
        <v>43993</v>
      </c>
      <c r="C225" s="1" t="n">
        <v>45192</v>
      </c>
      <c r="D225" t="inlineStr">
        <is>
          <t>ÖSTERGÖTLANDS LÄN</t>
        </is>
      </c>
      <c r="E225" t="inlineStr">
        <is>
          <t>SÖDERKÖPING</t>
        </is>
      </c>
      <c r="G225" t="n">
        <v>3.8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Tjockfotad fingersvamp</t>
        </is>
      </c>
      <c r="S225">
        <f>HYPERLINK("https://klasma.github.io/Logging_SODERKOPING/artfynd/A 27514-2020.xlsx", "A 27514-2020")</f>
        <v/>
      </c>
      <c r="T225">
        <f>HYPERLINK("https://klasma.github.io/Logging_SODERKOPING/kartor/A 27514-2020.png", "A 27514-2020")</f>
        <v/>
      </c>
      <c r="V225">
        <f>HYPERLINK("https://klasma.github.io/Logging_SODERKOPING/klagomål/A 27514-2020.docx", "A 27514-2020")</f>
        <v/>
      </c>
      <c r="W225">
        <f>HYPERLINK("https://klasma.github.io/Logging_SODERKOPING/klagomålsmail/A 27514-2020.docx", "A 27514-2020")</f>
        <v/>
      </c>
      <c r="X225">
        <f>HYPERLINK("https://klasma.github.io/Logging_SODERKOPING/tillsyn/A 27514-2020.docx", "A 27514-2020")</f>
        <v/>
      </c>
      <c r="Y225">
        <f>HYPERLINK("https://klasma.github.io/Logging_SODERKOPING/tillsynsmail/A 27514-2020.docx", "A 27514-2020")</f>
        <v/>
      </c>
    </row>
    <row r="226" ht="15" customHeight="1">
      <c r="A226" t="inlineStr">
        <is>
          <t>A 30273-2020</t>
        </is>
      </c>
      <c r="B226" s="1" t="n">
        <v>44007</v>
      </c>
      <c r="C226" s="1" t="n">
        <v>45192</v>
      </c>
      <c r="D226" t="inlineStr">
        <is>
          <t>ÖSTERGÖTLANDS LÄN</t>
        </is>
      </c>
      <c r="E226" t="inlineStr">
        <is>
          <t>ÅTVIDABERG</t>
        </is>
      </c>
      <c r="G226" t="n">
        <v>1.3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Granticka</t>
        </is>
      </c>
      <c r="S226">
        <f>HYPERLINK("https://klasma.github.io/Logging_ATVIDABERG/artfynd/A 30273-2020.xlsx", "A 30273-2020")</f>
        <v/>
      </c>
      <c r="T226">
        <f>HYPERLINK("https://klasma.github.io/Logging_ATVIDABERG/kartor/A 30273-2020.png", "A 30273-2020")</f>
        <v/>
      </c>
      <c r="V226">
        <f>HYPERLINK("https://klasma.github.io/Logging_ATVIDABERG/klagomål/A 30273-2020.docx", "A 30273-2020")</f>
        <v/>
      </c>
      <c r="W226">
        <f>HYPERLINK("https://klasma.github.io/Logging_ATVIDABERG/klagomålsmail/A 30273-2020.docx", "A 30273-2020")</f>
        <v/>
      </c>
      <c r="X226">
        <f>HYPERLINK("https://klasma.github.io/Logging_ATVIDABERG/tillsyn/A 30273-2020.docx", "A 30273-2020")</f>
        <v/>
      </c>
      <c r="Y226">
        <f>HYPERLINK("https://klasma.github.io/Logging_ATVIDABERG/tillsynsmail/A 30273-2020.docx", "A 30273-2020")</f>
        <v/>
      </c>
    </row>
    <row r="227" ht="15" customHeight="1">
      <c r="A227" t="inlineStr">
        <is>
          <t>A 31912-2020</t>
        </is>
      </c>
      <c r="B227" s="1" t="n">
        <v>44014</v>
      </c>
      <c r="C227" s="1" t="n">
        <v>45192</v>
      </c>
      <c r="D227" t="inlineStr">
        <is>
          <t>ÖSTERGÖTLANDS LÄN</t>
        </is>
      </c>
      <c r="E227" t="inlineStr">
        <is>
          <t>MJÖLBY</t>
        </is>
      </c>
      <c r="G227" t="n">
        <v>14.2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Underviol</t>
        </is>
      </c>
      <c r="S227">
        <f>HYPERLINK("https://klasma.github.io/Logging_MJOLBY/artfynd/A 31912-2020.xlsx", "A 31912-2020")</f>
        <v/>
      </c>
      <c r="T227">
        <f>HYPERLINK("https://klasma.github.io/Logging_MJOLBY/kartor/A 31912-2020.png", "A 31912-2020")</f>
        <v/>
      </c>
      <c r="V227">
        <f>HYPERLINK("https://klasma.github.io/Logging_MJOLBY/klagomål/A 31912-2020.docx", "A 31912-2020")</f>
        <v/>
      </c>
      <c r="W227">
        <f>HYPERLINK("https://klasma.github.io/Logging_MJOLBY/klagomålsmail/A 31912-2020.docx", "A 31912-2020")</f>
        <v/>
      </c>
      <c r="X227">
        <f>HYPERLINK("https://klasma.github.io/Logging_MJOLBY/tillsyn/A 31912-2020.docx", "A 31912-2020")</f>
        <v/>
      </c>
      <c r="Y227">
        <f>HYPERLINK("https://klasma.github.io/Logging_MJOLBY/tillsynsmail/A 31912-2020.docx", "A 31912-2020")</f>
        <v/>
      </c>
    </row>
    <row r="228" ht="15" customHeight="1">
      <c r="A228" t="inlineStr">
        <is>
          <t>A 34236-2020</t>
        </is>
      </c>
      <c r="B228" s="1" t="n">
        <v>44029</v>
      </c>
      <c r="C228" s="1" t="n">
        <v>45192</v>
      </c>
      <c r="D228" t="inlineStr">
        <is>
          <t>ÖSTERGÖTLANDS LÄN</t>
        </is>
      </c>
      <c r="E228" t="inlineStr">
        <is>
          <t>VALDEMARSVIK</t>
        </is>
      </c>
      <c r="G228" t="n">
        <v>7.5</v>
      </c>
      <c r="H228" t="n">
        <v>1</v>
      </c>
      <c r="I228" t="n">
        <v>0</v>
      </c>
      <c r="J228" t="n">
        <v>0</v>
      </c>
      <c r="K228" t="n">
        <v>1</v>
      </c>
      <c r="L228" t="n">
        <v>0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Knärot</t>
        </is>
      </c>
      <c r="S228">
        <f>HYPERLINK("https://klasma.github.io/Logging_VALDEMARSVIK/artfynd/A 34236-2020.xlsx", "A 34236-2020")</f>
        <v/>
      </c>
      <c r="T228">
        <f>HYPERLINK("https://klasma.github.io/Logging_VALDEMARSVIK/kartor/A 34236-2020.png", "A 34236-2020")</f>
        <v/>
      </c>
      <c r="U228">
        <f>HYPERLINK("https://klasma.github.io/Logging_VALDEMARSVIK/knärot/A 34236-2020.png", "A 34236-2020")</f>
        <v/>
      </c>
      <c r="V228">
        <f>HYPERLINK("https://klasma.github.io/Logging_VALDEMARSVIK/klagomål/A 34236-2020.docx", "A 34236-2020")</f>
        <v/>
      </c>
      <c r="W228">
        <f>HYPERLINK("https://klasma.github.io/Logging_VALDEMARSVIK/klagomålsmail/A 34236-2020.docx", "A 34236-2020")</f>
        <v/>
      </c>
      <c r="X228">
        <f>HYPERLINK("https://klasma.github.io/Logging_VALDEMARSVIK/tillsyn/A 34236-2020.docx", "A 34236-2020")</f>
        <v/>
      </c>
      <c r="Y228">
        <f>HYPERLINK("https://klasma.github.io/Logging_VALDEMARSVIK/tillsynsmail/A 34236-2020.docx", "A 34236-2020")</f>
        <v/>
      </c>
    </row>
    <row r="229" ht="15" customHeight="1">
      <c r="A229" t="inlineStr">
        <is>
          <t>A 35003-2020</t>
        </is>
      </c>
      <c r="B229" s="1" t="n">
        <v>44039</v>
      </c>
      <c r="C229" s="1" t="n">
        <v>45192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Holmen skog AB</t>
        </is>
      </c>
      <c r="G229" t="n">
        <v>17.1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Bronshjon</t>
        </is>
      </c>
      <c r="S229">
        <f>HYPERLINK("https://klasma.github.io/Logging_FINSPANG/artfynd/A 35003-2020.xlsx", "A 35003-2020")</f>
        <v/>
      </c>
      <c r="T229">
        <f>HYPERLINK("https://klasma.github.io/Logging_FINSPANG/kartor/A 35003-2020.png", "A 35003-2020")</f>
        <v/>
      </c>
      <c r="V229">
        <f>HYPERLINK("https://klasma.github.io/Logging_FINSPANG/klagomål/A 35003-2020.docx", "A 35003-2020")</f>
        <v/>
      </c>
      <c r="W229">
        <f>HYPERLINK("https://klasma.github.io/Logging_FINSPANG/klagomålsmail/A 35003-2020.docx", "A 35003-2020")</f>
        <v/>
      </c>
      <c r="X229">
        <f>HYPERLINK("https://klasma.github.io/Logging_FINSPANG/tillsyn/A 35003-2020.docx", "A 35003-2020")</f>
        <v/>
      </c>
      <c r="Y229">
        <f>HYPERLINK("https://klasma.github.io/Logging_FINSPANG/tillsynsmail/A 35003-2020.docx", "A 35003-2020")</f>
        <v/>
      </c>
    </row>
    <row r="230" ht="15" customHeight="1">
      <c r="A230" t="inlineStr">
        <is>
          <t>A 36769-2020</t>
        </is>
      </c>
      <c r="B230" s="1" t="n">
        <v>44053</v>
      </c>
      <c r="C230" s="1" t="n">
        <v>45192</v>
      </c>
      <c r="D230" t="inlineStr">
        <is>
          <t>ÖSTERGÖTLANDS LÄN</t>
        </is>
      </c>
      <c r="E230" t="inlineStr">
        <is>
          <t>SÖDERKÖPING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HYPERLINK("https://klasma.github.io/Logging_SODERKOPING/artfynd/A 36769-2020.xlsx", "A 36769-2020")</f>
        <v/>
      </c>
      <c r="T230">
        <f>HYPERLINK("https://klasma.github.io/Logging_SODERKOPING/kartor/A 36769-2020.png", "A 36769-2020")</f>
        <v/>
      </c>
      <c r="V230">
        <f>HYPERLINK("https://klasma.github.io/Logging_SODERKOPING/klagomål/A 36769-2020.docx", "A 36769-2020")</f>
        <v/>
      </c>
      <c r="W230">
        <f>HYPERLINK("https://klasma.github.io/Logging_SODERKOPING/klagomålsmail/A 36769-2020.docx", "A 36769-2020")</f>
        <v/>
      </c>
      <c r="X230">
        <f>HYPERLINK("https://klasma.github.io/Logging_SODERKOPING/tillsyn/A 36769-2020.docx", "A 36769-2020")</f>
        <v/>
      </c>
      <c r="Y230">
        <f>HYPERLINK("https://klasma.github.io/Logging_SODERKOPING/tillsynsmail/A 36769-2020.docx", "A 36769-2020")</f>
        <v/>
      </c>
    </row>
    <row r="231" ht="15" customHeight="1">
      <c r="A231" t="inlineStr">
        <is>
          <t>A 42014-2020</t>
        </is>
      </c>
      <c r="B231" s="1" t="n">
        <v>44075</v>
      </c>
      <c r="C231" s="1" t="n">
        <v>45192</v>
      </c>
      <c r="D231" t="inlineStr">
        <is>
          <t>ÖSTERGÖTLANDS LÄN</t>
        </is>
      </c>
      <c r="E231" t="inlineStr">
        <is>
          <t>MOTALA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Ask</t>
        </is>
      </c>
      <c r="S231">
        <f>HYPERLINK("https://klasma.github.io/Logging_MOTALA/artfynd/A 42014-2020.xlsx", "A 42014-2020")</f>
        <v/>
      </c>
      <c r="T231">
        <f>HYPERLINK("https://klasma.github.io/Logging_MOTALA/kartor/A 42014-2020.png", "A 42014-2020")</f>
        <v/>
      </c>
      <c r="V231">
        <f>HYPERLINK("https://klasma.github.io/Logging_MOTALA/klagomål/A 42014-2020.docx", "A 42014-2020")</f>
        <v/>
      </c>
      <c r="W231">
        <f>HYPERLINK("https://klasma.github.io/Logging_MOTALA/klagomålsmail/A 42014-2020.docx", "A 42014-2020")</f>
        <v/>
      </c>
      <c r="X231">
        <f>HYPERLINK("https://klasma.github.io/Logging_MOTALA/tillsyn/A 42014-2020.docx", "A 42014-2020")</f>
        <v/>
      </c>
      <c r="Y231">
        <f>HYPERLINK("https://klasma.github.io/Logging_MOTALA/tillsynsmail/A 42014-2020.docx", "A 42014-2020")</f>
        <v/>
      </c>
    </row>
    <row r="232" ht="15" customHeight="1">
      <c r="A232" t="inlineStr">
        <is>
          <t>A 42665-2020</t>
        </is>
      </c>
      <c r="B232" s="1" t="n">
        <v>44077</v>
      </c>
      <c r="C232" s="1" t="n">
        <v>45192</v>
      </c>
      <c r="D232" t="inlineStr">
        <is>
          <t>ÖSTERGÖTLANDS LÄN</t>
        </is>
      </c>
      <c r="E232" t="inlineStr">
        <is>
          <t>LINKÖPING</t>
        </is>
      </c>
      <c r="G232" t="n">
        <v>15.6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Tallticka</t>
        </is>
      </c>
      <c r="S232">
        <f>HYPERLINK("https://klasma.github.io/Logging_LINKOPING/artfynd/A 42665-2020.xlsx", "A 42665-2020")</f>
        <v/>
      </c>
      <c r="T232">
        <f>HYPERLINK("https://klasma.github.io/Logging_LINKOPING/kartor/A 42665-2020.png", "A 42665-2020")</f>
        <v/>
      </c>
      <c r="V232">
        <f>HYPERLINK("https://klasma.github.io/Logging_LINKOPING/klagomål/A 42665-2020.docx", "A 42665-2020")</f>
        <v/>
      </c>
      <c r="W232">
        <f>HYPERLINK("https://klasma.github.io/Logging_LINKOPING/klagomålsmail/A 42665-2020.docx", "A 42665-2020")</f>
        <v/>
      </c>
      <c r="X232">
        <f>HYPERLINK("https://klasma.github.io/Logging_LINKOPING/tillsyn/A 42665-2020.docx", "A 42665-2020")</f>
        <v/>
      </c>
      <c r="Y232">
        <f>HYPERLINK("https://klasma.github.io/Logging_LINKOPING/tillsynsmail/A 42665-2020.docx", "A 42665-2020")</f>
        <v/>
      </c>
    </row>
    <row r="233" ht="15" customHeight="1">
      <c r="A233" t="inlineStr">
        <is>
          <t>A 44877-2020</t>
        </is>
      </c>
      <c r="B233" s="1" t="n">
        <v>44087</v>
      </c>
      <c r="C233" s="1" t="n">
        <v>45192</v>
      </c>
      <c r="D233" t="inlineStr">
        <is>
          <t>ÖSTERGÖTLANDS LÄN</t>
        </is>
      </c>
      <c r="E233" t="inlineStr">
        <is>
          <t>YDRE</t>
        </is>
      </c>
      <c r="F233" t="inlineStr">
        <is>
          <t>Sveaskog</t>
        </is>
      </c>
      <c r="G233" t="n">
        <v>5.1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Flagellkvastmossa</t>
        </is>
      </c>
      <c r="S233">
        <f>HYPERLINK("https://klasma.github.io/Logging_YDRE/artfynd/A 44877-2020.xlsx", "A 44877-2020")</f>
        <v/>
      </c>
      <c r="T233">
        <f>HYPERLINK("https://klasma.github.io/Logging_YDRE/kartor/A 44877-2020.png", "A 44877-2020")</f>
        <v/>
      </c>
      <c r="V233">
        <f>HYPERLINK("https://klasma.github.io/Logging_YDRE/klagomål/A 44877-2020.docx", "A 44877-2020")</f>
        <v/>
      </c>
      <c r="W233">
        <f>HYPERLINK("https://klasma.github.io/Logging_YDRE/klagomålsmail/A 44877-2020.docx", "A 44877-2020")</f>
        <v/>
      </c>
      <c r="X233">
        <f>HYPERLINK("https://klasma.github.io/Logging_YDRE/tillsyn/A 44877-2020.docx", "A 44877-2020")</f>
        <v/>
      </c>
      <c r="Y233">
        <f>HYPERLINK("https://klasma.github.io/Logging_YDRE/tillsynsmail/A 44877-2020.docx", "A 44877-2020")</f>
        <v/>
      </c>
    </row>
    <row r="234" ht="15" customHeight="1">
      <c r="A234" t="inlineStr">
        <is>
          <t>A 44930-2020</t>
        </is>
      </c>
      <c r="B234" s="1" t="n">
        <v>44088</v>
      </c>
      <c r="C234" s="1" t="n">
        <v>45192</v>
      </c>
      <c r="D234" t="inlineStr">
        <is>
          <t>ÖSTERGÖTLANDS LÄN</t>
        </is>
      </c>
      <c r="E234" t="inlineStr">
        <is>
          <t>LINKÖPING</t>
        </is>
      </c>
      <c r="G234" t="n">
        <v>2.6</v>
      </c>
      <c r="H234" t="n">
        <v>1</v>
      </c>
      <c r="I234" t="n">
        <v>0</v>
      </c>
      <c r="J234" t="n">
        <v>0</v>
      </c>
      <c r="K234" t="n">
        <v>1</v>
      </c>
      <c r="L234" t="n">
        <v>0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Knärot</t>
        </is>
      </c>
      <c r="S234">
        <f>HYPERLINK("https://klasma.github.io/Logging_LINKOPING/artfynd/A 44930-2020.xlsx", "A 44930-2020")</f>
        <v/>
      </c>
      <c r="T234">
        <f>HYPERLINK("https://klasma.github.io/Logging_LINKOPING/kartor/A 44930-2020.png", "A 44930-2020")</f>
        <v/>
      </c>
      <c r="U234">
        <f>HYPERLINK("https://klasma.github.io/Logging_LINKOPING/knärot/A 44930-2020.png", "A 44930-2020")</f>
        <v/>
      </c>
      <c r="V234">
        <f>HYPERLINK("https://klasma.github.io/Logging_LINKOPING/klagomål/A 44930-2020.docx", "A 44930-2020")</f>
        <v/>
      </c>
      <c r="W234">
        <f>HYPERLINK("https://klasma.github.io/Logging_LINKOPING/klagomålsmail/A 44930-2020.docx", "A 44930-2020")</f>
        <v/>
      </c>
      <c r="X234">
        <f>HYPERLINK("https://klasma.github.io/Logging_LINKOPING/tillsyn/A 44930-2020.docx", "A 44930-2020")</f>
        <v/>
      </c>
      <c r="Y234">
        <f>HYPERLINK("https://klasma.github.io/Logging_LINKOPING/tillsynsmail/A 44930-2020.docx", "A 44930-2020")</f>
        <v/>
      </c>
    </row>
    <row r="235" ht="15" customHeight="1">
      <c r="A235" t="inlineStr">
        <is>
          <t>A 47233-2020</t>
        </is>
      </c>
      <c r="B235" s="1" t="n">
        <v>44092</v>
      </c>
      <c r="C235" s="1" t="n">
        <v>45192</v>
      </c>
      <c r="D235" t="inlineStr">
        <is>
          <t>ÖSTERGÖTLANDS LÄN</t>
        </is>
      </c>
      <c r="E235" t="inlineStr">
        <is>
          <t>KINDA</t>
        </is>
      </c>
      <c r="G235" t="n">
        <v>2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Tibast</t>
        </is>
      </c>
      <c r="S235">
        <f>HYPERLINK("https://klasma.github.io/Logging_KINDA/artfynd/A 47233-2020.xlsx", "A 47233-2020")</f>
        <v/>
      </c>
      <c r="T235">
        <f>HYPERLINK("https://klasma.github.io/Logging_KINDA/kartor/A 47233-2020.png", "A 47233-2020")</f>
        <v/>
      </c>
      <c r="U235">
        <f>HYPERLINK("https://klasma.github.io/Logging_KINDA/knärot/A 47233-2020.png", "A 47233-2020")</f>
        <v/>
      </c>
      <c r="V235">
        <f>HYPERLINK("https://klasma.github.io/Logging_KINDA/klagomål/A 47233-2020.docx", "A 47233-2020")</f>
        <v/>
      </c>
      <c r="W235">
        <f>HYPERLINK("https://klasma.github.io/Logging_KINDA/klagomålsmail/A 47233-2020.docx", "A 47233-2020")</f>
        <v/>
      </c>
      <c r="X235">
        <f>HYPERLINK("https://klasma.github.io/Logging_KINDA/tillsyn/A 47233-2020.docx", "A 47233-2020")</f>
        <v/>
      </c>
      <c r="Y235">
        <f>HYPERLINK("https://klasma.github.io/Logging_KINDA/tillsynsmail/A 47233-2020.docx", "A 47233-2020")</f>
        <v/>
      </c>
    </row>
    <row r="236" ht="15" customHeight="1">
      <c r="A236" t="inlineStr">
        <is>
          <t>A 48984-2020</t>
        </is>
      </c>
      <c r="B236" s="1" t="n">
        <v>44104</v>
      </c>
      <c r="C236" s="1" t="n">
        <v>45192</v>
      </c>
      <c r="D236" t="inlineStr">
        <is>
          <t>ÖSTERGÖTLANDS LÄN</t>
        </is>
      </c>
      <c r="E236" t="inlineStr">
        <is>
          <t>LINKÖPING</t>
        </is>
      </c>
      <c r="G236" t="n">
        <v>2.8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Vårstarr</t>
        </is>
      </c>
      <c r="S236">
        <f>HYPERLINK("https://klasma.github.io/Logging_LINKOPING/artfynd/A 48984-2020.xlsx", "A 48984-2020")</f>
        <v/>
      </c>
      <c r="T236">
        <f>HYPERLINK("https://klasma.github.io/Logging_LINKOPING/kartor/A 48984-2020.png", "A 48984-2020")</f>
        <v/>
      </c>
      <c r="V236">
        <f>HYPERLINK("https://klasma.github.io/Logging_LINKOPING/klagomål/A 48984-2020.docx", "A 48984-2020")</f>
        <v/>
      </c>
      <c r="W236">
        <f>HYPERLINK("https://klasma.github.io/Logging_LINKOPING/klagomålsmail/A 48984-2020.docx", "A 48984-2020")</f>
        <v/>
      </c>
      <c r="X236">
        <f>HYPERLINK("https://klasma.github.io/Logging_LINKOPING/tillsyn/A 48984-2020.docx", "A 48984-2020")</f>
        <v/>
      </c>
      <c r="Y236">
        <f>HYPERLINK("https://klasma.github.io/Logging_LINKOPING/tillsynsmail/A 48984-2020.docx", "A 48984-2020")</f>
        <v/>
      </c>
    </row>
    <row r="237" ht="15" customHeight="1">
      <c r="A237" t="inlineStr">
        <is>
          <t>A 53268-2020</t>
        </is>
      </c>
      <c r="B237" s="1" t="n">
        <v>44123</v>
      </c>
      <c r="C237" s="1" t="n">
        <v>45192</v>
      </c>
      <c r="D237" t="inlineStr">
        <is>
          <t>ÖSTERGÖTLANDS LÄN</t>
        </is>
      </c>
      <c r="E237" t="inlineStr">
        <is>
          <t>BOXHOLM</t>
        </is>
      </c>
      <c r="G237" t="n">
        <v>1.3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HYPERLINK("https://klasma.github.io/Logging_BOXHOLM/artfynd/A 53268-2020.xlsx", "A 53268-2020")</f>
        <v/>
      </c>
      <c r="T237">
        <f>HYPERLINK("https://klasma.github.io/Logging_BOXHOLM/kartor/A 53268-2020.png", "A 53268-2020")</f>
        <v/>
      </c>
      <c r="U237">
        <f>HYPERLINK("https://klasma.github.io/Logging_BOXHOLM/knärot/A 53268-2020.png", "A 53268-2020")</f>
        <v/>
      </c>
      <c r="V237">
        <f>HYPERLINK("https://klasma.github.io/Logging_BOXHOLM/klagomål/A 53268-2020.docx", "A 53268-2020")</f>
        <v/>
      </c>
      <c r="W237">
        <f>HYPERLINK("https://klasma.github.io/Logging_BOXHOLM/klagomålsmail/A 53268-2020.docx", "A 53268-2020")</f>
        <v/>
      </c>
      <c r="X237">
        <f>HYPERLINK("https://klasma.github.io/Logging_BOXHOLM/tillsyn/A 53268-2020.docx", "A 53268-2020")</f>
        <v/>
      </c>
      <c r="Y237">
        <f>HYPERLINK("https://klasma.github.io/Logging_BOXHOLM/tillsynsmail/A 53268-2020.docx", "A 53268-2020")</f>
        <v/>
      </c>
    </row>
    <row r="238" ht="15" customHeight="1">
      <c r="A238" t="inlineStr">
        <is>
          <t>A 54832-2020</t>
        </is>
      </c>
      <c r="B238" s="1" t="n">
        <v>44127</v>
      </c>
      <c r="C238" s="1" t="n">
        <v>45192</v>
      </c>
      <c r="D238" t="inlineStr">
        <is>
          <t>ÖSTERGÖTLANDS LÄN</t>
        </is>
      </c>
      <c r="E238" t="inlineStr">
        <is>
          <t>FINSPÅNG</t>
        </is>
      </c>
      <c r="G238" t="n">
        <v>5.6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Grön aspvedbock</t>
        </is>
      </c>
      <c r="S238">
        <f>HYPERLINK("https://klasma.github.io/Logging_FINSPANG/artfynd/A 54832-2020.xlsx", "A 54832-2020")</f>
        <v/>
      </c>
      <c r="T238">
        <f>HYPERLINK("https://klasma.github.io/Logging_FINSPANG/kartor/A 54832-2020.png", "A 54832-2020")</f>
        <v/>
      </c>
      <c r="V238">
        <f>HYPERLINK("https://klasma.github.io/Logging_FINSPANG/klagomål/A 54832-2020.docx", "A 54832-2020")</f>
        <v/>
      </c>
      <c r="W238">
        <f>HYPERLINK("https://klasma.github.io/Logging_FINSPANG/klagomålsmail/A 54832-2020.docx", "A 54832-2020")</f>
        <v/>
      </c>
      <c r="X238">
        <f>HYPERLINK("https://klasma.github.io/Logging_FINSPANG/tillsyn/A 54832-2020.docx", "A 54832-2020")</f>
        <v/>
      </c>
      <c r="Y238">
        <f>HYPERLINK("https://klasma.github.io/Logging_FINSPANG/tillsynsmail/A 54832-2020.docx", "A 54832-2020")</f>
        <v/>
      </c>
    </row>
    <row r="239" ht="15" customHeight="1">
      <c r="A239" t="inlineStr">
        <is>
          <t>A 55901-2020</t>
        </is>
      </c>
      <c r="B239" s="1" t="n">
        <v>44132</v>
      </c>
      <c r="C239" s="1" t="n">
        <v>45192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Allmännings- och besparingsskogar</t>
        </is>
      </c>
      <c r="G239" t="n">
        <v>6.8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Skogshare</t>
        </is>
      </c>
      <c r="S239">
        <f>HYPERLINK("https://klasma.github.io/Logging_NORRKOPING/artfynd/A 55901-2020.xlsx", "A 55901-2020")</f>
        <v/>
      </c>
      <c r="T239">
        <f>HYPERLINK("https://klasma.github.io/Logging_NORRKOPING/kartor/A 55901-2020.png", "A 55901-2020")</f>
        <v/>
      </c>
      <c r="V239">
        <f>HYPERLINK("https://klasma.github.io/Logging_NORRKOPING/klagomål/A 55901-2020.docx", "A 55901-2020")</f>
        <v/>
      </c>
      <c r="W239">
        <f>HYPERLINK("https://klasma.github.io/Logging_NORRKOPING/klagomålsmail/A 55901-2020.docx", "A 55901-2020")</f>
        <v/>
      </c>
      <c r="X239">
        <f>HYPERLINK("https://klasma.github.io/Logging_NORRKOPING/tillsyn/A 55901-2020.docx", "A 55901-2020")</f>
        <v/>
      </c>
      <c r="Y239">
        <f>HYPERLINK("https://klasma.github.io/Logging_NORRKOPING/tillsynsmail/A 55901-2020.docx", "A 55901-2020")</f>
        <v/>
      </c>
    </row>
    <row r="240" ht="15" customHeight="1">
      <c r="A240" t="inlineStr">
        <is>
          <t>A 57912-2020</t>
        </is>
      </c>
      <c r="B240" s="1" t="n">
        <v>44140</v>
      </c>
      <c r="C240" s="1" t="n">
        <v>45192</v>
      </c>
      <c r="D240" t="inlineStr">
        <is>
          <t>ÖSTERGÖTLANDS LÄN</t>
        </is>
      </c>
      <c r="E240" t="inlineStr">
        <is>
          <t>SÖDERKÖPING</t>
        </is>
      </c>
      <c r="G240" t="n">
        <v>12.3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Gul dropplav</t>
        </is>
      </c>
      <c r="S240">
        <f>HYPERLINK("https://klasma.github.io/Logging_SODERKOPING/artfynd/A 57912-2020.xlsx", "A 57912-2020")</f>
        <v/>
      </c>
      <c r="T240">
        <f>HYPERLINK("https://klasma.github.io/Logging_SODERKOPING/kartor/A 57912-2020.png", "A 57912-2020")</f>
        <v/>
      </c>
      <c r="V240">
        <f>HYPERLINK("https://klasma.github.io/Logging_SODERKOPING/klagomål/A 57912-2020.docx", "A 57912-2020")</f>
        <v/>
      </c>
      <c r="W240">
        <f>HYPERLINK("https://klasma.github.io/Logging_SODERKOPING/klagomålsmail/A 57912-2020.docx", "A 57912-2020")</f>
        <v/>
      </c>
      <c r="X240">
        <f>HYPERLINK("https://klasma.github.io/Logging_SODERKOPING/tillsyn/A 57912-2020.docx", "A 57912-2020")</f>
        <v/>
      </c>
      <c r="Y240">
        <f>HYPERLINK("https://klasma.github.io/Logging_SODERKOPING/tillsynsmail/A 57912-2020.docx", "A 57912-2020")</f>
        <v/>
      </c>
    </row>
    <row r="241" ht="15" customHeight="1">
      <c r="A241" t="inlineStr">
        <is>
          <t>A 58735-2020</t>
        </is>
      </c>
      <c r="B241" s="1" t="n">
        <v>44145</v>
      </c>
      <c r="C241" s="1" t="n">
        <v>45192</v>
      </c>
      <c r="D241" t="inlineStr">
        <is>
          <t>ÖSTERGÖTLANDS LÄN</t>
        </is>
      </c>
      <c r="E241" t="inlineStr">
        <is>
          <t>ÅTVIDABERG</t>
        </is>
      </c>
      <c r="G241" t="n">
        <v>1.5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Granbarkgnagare</t>
        </is>
      </c>
      <c r="S241">
        <f>HYPERLINK("https://klasma.github.io/Logging_ATVIDABERG/artfynd/A 58735-2020.xlsx", "A 58735-2020")</f>
        <v/>
      </c>
      <c r="T241">
        <f>HYPERLINK("https://klasma.github.io/Logging_ATVIDABERG/kartor/A 58735-2020.png", "A 58735-2020")</f>
        <v/>
      </c>
      <c r="V241">
        <f>HYPERLINK("https://klasma.github.io/Logging_ATVIDABERG/klagomål/A 58735-2020.docx", "A 58735-2020")</f>
        <v/>
      </c>
      <c r="W241">
        <f>HYPERLINK("https://klasma.github.io/Logging_ATVIDABERG/klagomålsmail/A 58735-2020.docx", "A 58735-2020")</f>
        <v/>
      </c>
      <c r="X241">
        <f>HYPERLINK("https://klasma.github.io/Logging_ATVIDABERG/tillsyn/A 58735-2020.docx", "A 58735-2020")</f>
        <v/>
      </c>
      <c r="Y241">
        <f>HYPERLINK("https://klasma.github.io/Logging_ATVIDABERG/tillsynsmail/A 58735-2020.docx", "A 58735-2020")</f>
        <v/>
      </c>
    </row>
    <row r="242" ht="15" customHeight="1">
      <c r="A242" t="inlineStr">
        <is>
          <t>A 59837-2020</t>
        </is>
      </c>
      <c r="B242" s="1" t="n">
        <v>44151</v>
      </c>
      <c r="C242" s="1" t="n">
        <v>45192</v>
      </c>
      <c r="D242" t="inlineStr">
        <is>
          <t>ÖSTERGÖTLANDS LÄN</t>
        </is>
      </c>
      <c r="E242" t="inlineStr">
        <is>
          <t>VALDEMARSVIK</t>
        </is>
      </c>
      <c r="F242" t="inlineStr">
        <is>
          <t>Kommuner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Färgginst</t>
        </is>
      </c>
      <c r="S242">
        <f>HYPERLINK("https://klasma.github.io/Logging_VALDEMARSVIK/artfynd/A 59837-2020.xlsx", "A 59837-2020")</f>
        <v/>
      </c>
      <c r="T242">
        <f>HYPERLINK("https://klasma.github.io/Logging_VALDEMARSVIK/kartor/A 59837-2020.png", "A 59837-2020")</f>
        <v/>
      </c>
      <c r="V242">
        <f>HYPERLINK("https://klasma.github.io/Logging_VALDEMARSVIK/klagomål/A 59837-2020.docx", "A 59837-2020")</f>
        <v/>
      </c>
      <c r="W242">
        <f>HYPERLINK("https://klasma.github.io/Logging_VALDEMARSVIK/klagomålsmail/A 59837-2020.docx", "A 59837-2020")</f>
        <v/>
      </c>
      <c r="X242">
        <f>HYPERLINK("https://klasma.github.io/Logging_VALDEMARSVIK/tillsyn/A 59837-2020.docx", "A 59837-2020")</f>
        <v/>
      </c>
      <c r="Y242">
        <f>HYPERLINK("https://klasma.github.io/Logging_VALDEMARSVIK/tillsynsmail/A 59837-2020.docx", "A 59837-2020")</f>
        <v/>
      </c>
    </row>
    <row r="243" ht="15" customHeight="1">
      <c r="A243" t="inlineStr">
        <is>
          <t>A 65400-2020</t>
        </is>
      </c>
      <c r="B243" s="1" t="n">
        <v>44173</v>
      </c>
      <c r="C243" s="1" t="n">
        <v>45192</v>
      </c>
      <c r="D243" t="inlineStr">
        <is>
          <t>ÖSTERGÖTLANDS LÄN</t>
        </is>
      </c>
      <c r="E243" t="inlineStr">
        <is>
          <t>VALDEMARSVIK</t>
        </is>
      </c>
      <c r="G243" t="n">
        <v>4.5</v>
      </c>
      <c r="H243" t="n">
        <v>1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Nästrot</t>
        </is>
      </c>
      <c r="S243">
        <f>HYPERLINK("https://klasma.github.io/Logging_VALDEMARSVIK/artfynd/A 65400-2020.xlsx", "A 65400-2020")</f>
        <v/>
      </c>
      <c r="T243">
        <f>HYPERLINK("https://klasma.github.io/Logging_VALDEMARSVIK/kartor/A 65400-2020.png", "A 65400-2020")</f>
        <v/>
      </c>
      <c r="V243">
        <f>HYPERLINK("https://klasma.github.io/Logging_VALDEMARSVIK/klagomål/A 65400-2020.docx", "A 65400-2020")</f>
        <v/>
      </c>
      <c r="W243">
        <f>HYPERLINK("https://klasma.github.io/Logging_VALDEMARSVIK/klagomålsmail/A 65400-2020.docx", "A 65400-2020")</f>
        <v/>
      </c>
      <c r="X243">
        <f>HYPERLINK("https://klasma.github.io/Logging_VALDEMARSVIK/tillsyn/A 65400-2020.docx", "A 65400-2020")</f>
        <v/>
      </c>
      <c r="Y243">
        <f>HYPERLINK("https://klasma.github.io/Logging_VALDEMARSVIK/tillsynsmail/A 65400-2020.docx", "A 65400-2020")</f>
        <v/>
      </c>
    </row>
    <row r="244" ht="15" customHeight="1">
      <c r="A244" t="inlineStr">
        <is>
          <t>A 67252-2020</t>
        </is>
      </c>
      <c r="B244" s="1" t="n">
        <v>44181</v>
      </c>
      <c r="C244" s="1" t="n">
        <v>45192</v>
      </c>
      <c r="D244" t="inlineStr">
        <is>
          <t>ÖSTERGÖTLANDS LÄN</t>
        </is>
      </c>
      <c r="E244" t="inlineStr">
        <is>
          <t>ÅTVIDABERG</t>
        </is>
      </c>
      <c r="G244" t="n">
        <v>3.1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67252-2020.xlsx", "A 67252-2020")</f>
        <v/>
      </c>
      <c r="T244">
        <f>HYPERLINK("https://klasma.github.io/Logging_ATVIDABERG/kartor/A 67252-2020.png", "A 67252-2020")</f>
        <v/>
      </c>
      <c r="V244">
        <f>HYPERLINK("https://klasma.github.io/Logging_ATVIDABERG/klagomål/A 67252-2020.docx", "A 67252-2020")</f>
        <v/>
      </c>
      <c r="W244">
        <f>HYPERLINK("https://klasma.github.io/Logging_ATVIDABERG/klagomålsmail/A 67252-2020.docx", "A 67252-2020")</f>
        <v/>
      </c>
      <c r="X244">
        <f>HYPERLINK("https://klasma.github.io/Logging_ATVIDABERG/tillsyn/A 67252-2020.docx", "A 67252-2020")</f>
        <v/>
      </c>
      <c r="Y244">
        <f>HYPERLINK("https://klasma.github.io/Logging_ATVIDABERG/tillsynsmail/A 67252-2020.docx", "A 67252-2020")</f>
        <v/>
      </c>
    </row>
    <row r="245" ht="15" customHeight="1">
      <c r="A245" t="inlineStr">
        <is>
          <t>A 67653-2020</t>
        </is>
      </c>
      <c r="B245" s="1" t="n">
        <v>44182</v>
      </c>
      <c r="C245" s="1" t="n">
        <v>45192</v>
      </c>
      <c r="D245" t="inlineStr">
        <is>
          <t>ÖSTERGÖTLANDS LÄN</t>
        </is>
      </c>
      <c r="E245" t="inlineStr">
        <is>
          <t>ÅTVIDABERG</t>
        </is>
      </c>
      <c r="G245" t="n">
        <v>1.4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Blåsippa</t>
        </is>
      </c>
      <c r="S245">
        <f>HYPERLINK("https://klasma.github.io/Logging_ATVIDABERG/artfynd/A 67653-2020.xlsx", "A 67653-2020")</f>
        <v/>
      </c>
      <c r="T245">
        <f>HYPERLINK("https://klasma.github.io/Logging_ATVIDABERG/kartor/A 67653-2020.png", "A 67653-2020")</f>
        <v/>
      </c>
      <c r="V245">
        <f>HYPERLINK("https://klasma.github.io/Logging_ATVIDABERG/klagomål/A 67653-2020.docx", "A 67653-2020")</f>
        <v/>
      </c>
      <c r="W245">
        <f>HYPERLINK("https://klasma.github.io/Logging_ATVIDABERG/klagomålsmail/A 67653-2020.docx", "A 67653-2020")</f>
        <v/>
      </c>
      <c r="X245">
        <f>HYPERLINK("https://klasma.github.io/Logging_ATVIDABERG/tillsyn/A 67653-2020.docx", "A 67653-2020")</f>
        <v/>
      </c>
      <c r="Y245">
        <f>HYPERLINK("https://klasma.github.io/Logging_ATVIDABERG/tillsynsmail/A 67653-2020.docx", "A 67653-2020")</f>
        <v/>
      </c>
    </row>
    <row r="246" ht="15" customHeight="1">
      <c r="A246" t="inlineStr">
        <is>
          <t>A 68768-2020</t>
        </is>
      </c>
      <c r="B246" s="1" t="n">
        <v>44187</v>
      </c>
      <c r="C246" s="1" t="n">
        <v>45192</v>
      </c>
      <c r="D246" t="inlineStr">
        <is>
          <t>ÖSTERGÖTLANDS LÄN</t>
        </is>
      </c>
      <c r="E246" t="inlineStr">
        <is>
          <t>YDRE</t>
        </is>
      </c>
      <c r="G246" t="n">
        <v>3.2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Smålom</t>
        </is>
      </c>
      <c r="S246">
        <f>HYPERLINK("https://klasma.github.io/Logging_YDRE/artfynd/A 68768-2020.xlsx", "A 68768-2020")</f>
        <v/>
      </c>
      <c r="T246">
        <f>HYPERLINK("https://klasma.github.io/Logging_YDRE/kartor/A 68768-2020.png", "A 68768-2020")</f>
        <v/>
      </c>
      <c r="V246">
        <f>HYPERLINK("https://klasma.github.io/Logging_YDRE/klagomål/A 68768-2020.docx", "A 68768-2020")</f>
        <v/>
      </c>
      <c r="W246">
        <f>HYPERLINK("https://klasma.github.io/Logging_YDRE/klagomålsmail/A 68768-2020.docx", "A 68768-2020")</f>
        <v/>
      </c>
      <c r="X246">
        <f>HYPERLINK("https://klasma.github.io/Logging_YDRE/tillsyn/A 68768-2020.docx", "A 68768-2020")</f>
        <v/>
      </c>
      <c r="Y246">
        <f>HYPERLINK("https://klasma.github.io/Logging_YDRE/tillsynsmail/A 68768-2020.docx", "A 68768-2020")</f>
        <v/>
      </c>
    </row>
    <row r="247" ht="15" customHeight="1">
      <c r="A247" t="inlineStr">
        <is>
          <t>A 910-2021</t>
        </is>
      </c>
      <c r="B247" s="1" t="n">
        <v>44207</v>
      </c>
      <c r="C247" s="1" t="n">
        <v>45192</v>
      </c>
      <c r="D247" t="inlineStr">
        <is>
          <t>ÖSTERGÖTLANDS LÄN</t>
        </is>
      </c>
      <c r="E247" t="inlineStr">
        <is>
          <t>ÅTVIDABERG</t>
        </is>
      </c>
      <c r="G247" t="n">
        <v>2.5</v>
      </c>
      <c r="H247" t="n">
        <v>1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Ekoxe</t>
        </is>
      </c>
      <c r="S247">
        <f>HYPERLINK("https://klasma.github.io/Logging_ATVIDABERG/artfynd/A 910-2021.xlsx", "A 910-2021")</f>
        <v/>
      </c>
      <c r="T247">
        <f>HYPERLINK("https://klasma.github.io/Logging_ATVIDABERG/kartor/A 910-2021.png", "A 910-2021")</f>
        <v/>
      </c>
      <c r="V247">
        <f>HYPERLINK("https://klasma.github.io/Logging_ATVIDABERG/klagomål/A 910-2021.docx", "A 910-2021")</f>
        <v/>
      </c>
      <c r="W247">
        <f>HYPERLINK("https://klasma.github.io/Logging_ATVIDABERG/klagomålsmail/A 910-2021.docx", "A 910-2021")</f>
        <v/>
      </c>
      <c r="X247">
        <f>HYPERLINK("https://klasma.github.io/Logging_ATVIDABERG/tillsyn/A 910-2021.docx", "A 910-2021")</f>
        <v/>
      </c>
      <c r="Y247">
        <f>HYPERLINK("https://klasma.github.io/Logging_ATVIDABERG/tillsynsmail/A 910-2021.docx", "A 910-2021")</f>
        <v/>
      </c>
    </row>
    <row r="248" ht="15" customHeight="1">
      <c r="A248" t="inlineStr">
        <is>
          <t>A 6299-2021</t>
        </is>
      </c>
      <c r="B248" s="1" t="n">
        <v>44232</v>
      </c>
      <c r="C248" s="1" t="n">
        <v>45192</v>
      </c>
      <c r="D248" t="inlineStr">
        <is>
          <t>ÖSTERGÖTLANDS LÄN</t>
        </is>
      </c>
      <c r="E248" t="inlineStr">
        <is>
          <t>ÅTVIDABERG</t>
        </is>
      </c>
      <c r="G248" t="n">
        <v>1.2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Tallticka</t>
        </is>
      </c>
      <c r="S248">
        <f>HYPERLINK("https://klasma.github.io/Logging_ATVIDABERG/artfynd/A 6299-2021.xlsx", "A 6299-2021")</f>
        <v/>
      </c>
      <c r="T248">
        <f>HYPERLINK("https://klasma.github.io/Logging_ATVIDABERG/kartor/A 6299-2021.png", "A 6299-2021")</f>
        <v/>
      </c>
      <c r="V248">
        <f>HYPERLINK("https://klasma.github.io/Logging_ATVIDABERG/klagomål/A 6299-2021.docx", "A 6299-2021")</f>
        <v/>
      </c>
      <c r="W248">
        <f>HYPERLINK("https://klasma.github.io/Logging_ATVIDABERG/klagomålsmail/A 6299-2021.docx", "A 6299-2021")</f>
        <v/>
      </c>
      <c r="X248">
        <f>HYPERLINK("https://klasma.github.io/Logging_ATVIDABERG/tillsyn/A 6299-2021.docx", "A 6299-2021")</f>
        <v/>
      </c>
      <c r="Y248">
        <f>HYPERLINK("https://klasma.github.io/Logging_ATVIDABERG/tillsynsmail/A 6299-2021.docx", "A 6299-2021")</f>
        <v/>
      </c>
    </row>
    <row r="249" ht="15" customHeight="1">
      <c r="A249" t="inlineStr">
        <is>
          <t>A 6428-2021</t>
        </is>
      </c>
      <c r="B249" s="1" t="n">
        <v>44235</v>
      </c>
      <c r="C249" s="1" t="n">
        <v>45192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5.9</v>
      </c>
      <c r="H249" t="n">
        <v>0</v>
      </c>
      <c r="I249" t="n">
        <v>0</v>
      </c>
      <c r="J249" t="n">
        <v>0</v>
      </c>
      <c r="K249" t="n">
        <v>0</v>
      </c>
      <c r="L249" t="n">
        <v>1</v>
      </c>
      <c r="M249" t="n">
        <v>0</v>
      </c>
      <c r="N249" t="n">
        <v>0</v>
      </c>
      <c r="O249" t="n">
        <v>1</v>
      </c>
      <c r="P249" t="n">
        <v>1</v>
      </c>
      <c r="Q249" t="n">
        <v>1</v>
      </c>
      <c r="R249" s="2" t="inlineStr">
        <is>
          <t>Ask</t>
        </is>
      </c>
      <c r="S249">
        <f>HYPERLINK("https://klasma.github.io/Logging_KINDA/artfynd/A 6428-2021.xlsx", "A 6428-2021")</f>
        <v/>
      </c>
      <c r="T249">
        <f>HYPERLINK("https://klasma.github.io/Logging_KINDA/kartor/A 6428-2021.png", "A 6428-2021")</f>
        <v/>
      </c>
      <c r="V249">
        <f>HYPERLINK("https://klasma.github.io/Logging_KINDA/klagomål/A 6428-2021.docx", "A 6428-2021")</f>
        <v/>
      </c>
      <c r="W249">
        <f>HYPERLINK("https://klasma.github.io/Logging_KINDA/klagomålsmail/A 6428-2021.docx", "A 6428-2021")</f>
        <v/>
      </c>
      <c r="X249">
        <f>HYPERLINK("https://klasma.github.io/Logging_KINDA/tillsyn/A 6428-2021.docx", "A 6428-2021")</f>
        <v/>
      </c>
      <c r="Y249">
        <f>HYPERLINK("https://klasma.github.io/Logging_KINDA/tillsynsmail/A 6428-2021.docx", "A 6428-2021")</f>
        <v/>
      </c>
    </row>
    <row r="250" ht="15" customHeight="1">
      <c r="A250" t="inlineStr">
        <is>
          <t>A 12446-2021</t>
        </is>
      </c>
      <c r="B250" s="1" t="n">
        <v>44267</v>
      </c>
      <c r="C250" s="1" t="n">
        <v>45192</v>
      </c>
      <c r="D250" t="inlineStr">
        <is>
          <t>ÖSTERGÖTLANDS LÄN</t>
        </is>
      </c>
      <c r="E250" t="inlineStr">
        <is>
          <t>FINSPÅNG</t>
        </is>
      </c>
      <c r="F250" t="inlineStr">
        <is>
          <t>Övriga Aktiebolag</t>
        </is>
      </c>
      <c r="G250" t="n">
        <v>4.6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Fällmossa</t>
        </is>
      </c>
      <c r="S250">
        <f>HYPERLINK("https://klasma.github.io/Logging_FINSPANG/artfynd/A 12446-2021.xlsx", "A 12446-2021")</f>
        <v/>
      </c>
      <c r="T250">
        <f>HYPERLINK("https://klasma.github.io/Logging_FINSPANG/kartor/A 12446-2021.png", "A 12446-2021")</f>
        <v/>
      </c>
      <c r="V250">
        <f>HYPERLINK("https://klasma.github.io/Logging_FINSPANG/klagomål/A 12446-2021.docx", "A 12446-2021")</f>
        <v/>
      </c>
      <c r="W250">
        <f>HYPERLINK("https://klasma.github.io/Logging_FINSPANG/klagomålsmail/A 12446-2021.docx", "A 12446-2021")</f>
        <v/>
      </c>
      <c r="X250">
        <f>HYPERLINK("https://klasma.github.io/Logging_FINSPANG/tillsyn/A 12446-2021.docx", "A 12446-2021")</f>
        <v/>
      </c>
      <c r="Y250">
        <f>HYPERLINK("https://klasma.github.io/Logging_FINSPANG/tillsynsmail/A 12446-2021.docx", "A 12446-2021")</f>
        <v/>
      </c>
    </row>
    <row r="251" ht="15" customHeight="1">
      <c r="A251" t="inlineStr">
        <is>
          <t>A 12457-2021</t>
        </is>
      </c>
      <c r="B251" s="1" t="n">
        <v>44267</v>
      </c>
      <c r="C251" s="1" t="n">
        <v>45192</v>
      </c>
      <c r="D251" t="inlineStr">
        <is>
          <t>ÖSTERGÖTLANDS LÄN</t>
        </is>
      </c>
      <c r="E251" t="inlineStr">
        <is>
          <t>NORRKÖPING</t>
        </is>
      </c>
      <c r="G251" t="n">
        <v>5.2</v>
      </c>
      <c r="H251" t="n">
        <v>1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Lopplummer</t>
        </is>
      </c>
      <c r="S251">
        <f>HYPERLINK("https://klasma.github.io/Logging_NORRKOPING/artfynd/A 12457-2021.xlsx", "A 12457-2021")</f>
        <v/>
      </c>
      <c r="T251">
        <f>HYPERLINK("https://klasma.github.io/Logging_NORRKOPING/kartor/A 12457-2021.png", "A 12457-2021")</f>
        <v/>
      </c>
      <c r="V251">
        <f>HYPERLINK("https://klasma.github.io/Logging_NORRKOPING/klagomål/A 12457-2021.docx", "A 12457-2021")</f>
        <v/>
      </c>
      <c r="W251">
        <f>HYPERLINK("https://klasma.github.io/Logging_NORRKOPING/klagomålsmail/A 12457-2021.docx", "A 12457-2021")</f>
        <v/>
      </c>
      <c r="X251">
        <f>HYPERLINK("https://klasma.github.io/Logging_NORRKOPING/tillsyn/A 12457-2021.docx", "A 12457-2021")</f>
        <v/>
      </c>
      <c r="Y251">
        <f>HYPERLINK("https://klasma.github.io/Logging_NORRKOPING/tillsynsmail/A 12457-2021.docx", "A 12457-2021")</f>
        <v/>
      </c>
    </row>
    <row r="252" ht="15" customHeight="1">
      <c r="A252" t="inlineStr">
        <is>
          <t>A 14096-2021</t>
        </is>
      </c>
      <c r="B252" s="1" t="n">
        <v>44278</v>
      </c>
      <c r="C252" s="1" t="n">
        <v>45192</v>
      </c>
      <c r="D252" t="inlineStr">
        <is>
          <t>ÖSTERGÖTLANDS LÄN</t>
        </is>
      </c>
      <c r="E252" t="inlineStr">
        <is>
          <t>LINKÖPING</t>
        </is>
      </c>
      <c r="G252" t="n">
        <v>1.7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Vedtrappmossa</t>
        </is>
      </c>
      <c r="S252">
        <f>HYPERLINK("https://klasma.github.io/Logging_LINKOPING/artfynd/A 14096-2021.xlsx", "A 14096-2021")</f>
        <v/>
      </c>
      <c r="T252">
        <f>HYPERLINK("https://klasma.github.io/Logging_LINKOPING/kartor/A 14096-2021.png", "A 14096-2021")</f>
        <v/>
      </c>
      <c r="V252">
        <f>HYPERLINK("https://klasma.github.io/Logging_LINKOPING/klagomål/A 14096-2021.docx", "A 14096-2021")</f>
        <v/>
      </c>
      <c r="W252">
        <f>HYPERLINK("https://klasma.github.io/Logging_LINKOPING/klagomålsmail/A 14096-2021.docx", "A 14096-2021")</f>
        <v/>
      </c>
      <c r="X252">
        <f>HYPERLINK("https://klasma.github.io/Logging_LINKOPING/tillsyn/A 14096-2021.docx", "A 14096-2021")</f>
        <v/>
      </c>
      <c r="Y252">
        <f>HYPERLINK("https://klasma.github.io/Logging_LINKOPING/tillsynsmail/A 14096-2021.docx", "A 14096-2021")</f>
        <v/>
      </c>
    </row>
    <row r="253" ht="15" customHeight="1">
      <c r="A253" t="inlineStr">
        <is>
          <t>A 15475-2021</t>
        </is>
      </c>
      <c r="B253" s="1" t="n">
        <v>44285</v>
      </c>
      <c r="C253" s="1" t="n">
        <v>45192</v>
      </c>
      <c r="D253" t="inlineStr">
        <is>
          <t>ÖSTERGÖTLANDS LÄN</t>
        </is>
      </c>
      <c r="E253" t="inlineStr">
        <is>
          <t>LINKÖPING</t>
        </is>
      </c>
      <c r="F253" t="inlineStr">
        <is>
          <t>Kommuner</t>
        </is>
      </c>
      <c r="G253" t="n">
        <v>10.2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1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Skogsalm</t>
        </is>
      </c>
      <c r="S253">
        <f>HYPERLINK("https://klasma.github.io/Logging_LINKOPING/artfynd/A 15475-2021.xlsx", "A 15475-2021")</f>
        <v/>
      </c>
      <c r="T253">
        <f>HYPERLINK("https://klasma.github.io/Logging_LINKOPING/kartor/A 15475-2021.png", "A 15475-2021")</f>
        <v/>
      </c>
      <c r="V253">
        <f>HYPERLINK("https://klasma.github.io/Logging_LINKOPING/klagomål/A 15475-2021.docx", "A 15475-2021")</f>
        <v/>
      </c>
      <c r="W253">
        <f>HYPERLINK("https://klasma.github.io/Logging_LINKOPING/klagomålsmail/A 15475-2021.docx", "A 15475-2021")</f>
        <v/>
      </c>
      <c r="X253">
        <f>HYPERLINK("https://klasma.github.io/Logging_LINKOPING/tillsyn/A 15475-2021.docx", "A 15475-2021")</f>
        <v/>
      </c>
      <c r="Y253">
        <f>HYPERLINK("https://klasma.github.io/Logging_LINKOPING/tillsynsmail/A 15475-2021.docx", "A 15475-2021")</f>
        <v/>
      </c>
    </row>
    <row r="254" ht="15" customHeight="1">
      <c r="A254" t="inlineStr">
        <is>
          <t>A 16388-2021</t>
        </is>
      </c>
      <c r="B254" s="1" t="n">
        <v>44293</v>
      </c>
      <c r="C254" s="1" t="n">
        <v>45192</v>
      </c>
      <c r="D254" t="inlineStr">
        <is>
          <t>ÖSTERGÖTLANDS LÄN</t>
        </is>
      </c>
      <c r="E254" t="inlineStr">
        <is>
          <t>VALDEMARSVIK</t>
        </is>
      </c>
      <c r="F254" t="inlineStr">
        <is>
          <t>Kommuner</t>
        </is>
      </c>
      <c r="G254" t="n">
        <v>5.8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Svedjenäva</t>
        </is>
      </c>
      <c r="S254">
        <f>HYPERLINK("https://klasma.github.io/Logging_VALDEMARSVIK/artfynd/A 16388-2021.xlsx", "A 16388-2021")</f>
        <v/>
      </c>
      <c r="T254">
        <f>HYPERLINK("https://klasma.github.io/Logging_VALDEMARSVIK/kartor/A 16388-2021.png", "A 16388-2021")</f>
        <v/>
      </c>
      <c r="V254">
        <f>HYPERLINK("https://klasma.github.io/Logging_VALDEMARSVIK/klagomål/A 16388-2021.docx", "A 16388-2021")</f>
        <v/>
      </c>
      <c r="W254">
        <f>HYPERLINK("https://klasma.github.io/Logging_VALDEMARSVIK/klagomålsmail/A 16388-2021.docx", "A 16388-2021")</f>
        <v/>
      </c>
      <c r="X254">
        <f>HYPERLINK("https://klasma.github.io/Logging_VALDEMARSVIK/tillsyn/A 16388-2021.docx", "A 16388-2021")</f>
        <v/>
      </c>
      <c r="Y254">
        <f>HYPERLINK("https://klasma.github.io/Logging_VALDEMARSVIK/tillsynsmail/A 16388-2021.docx", "A 16388-2021")</f>
        <v/>
      </c>
    </row>
    <row r="255" ht="15" customHeight="1">
      <c r="A255" t="inlineStr">
        <is>
          <t>A 16870-2021</t>
        </is>
      </c>
      <c r="B255" s="1" t="n">
        <v>44293</v>
      </c>
      <c r="C255" s="1" t="n">
        <v>45192</v>
      </c>
      <c r="D255" t="inlineStr">
        <is>
          <t>ÖSTERGÖTLANDS LÄN</t>
        </is>
      </c>
      <c r="E255" t="inlineStr">
        <is>
          <t>MOTALA</t>
        </is>
      </c>
      <c r="G255" t="n">
        <v>11.1</v>
      </c>
      <c r="H255" t="n">
        <v>0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Ask</t>
        </is>
      </c>
      <c r="S255">
        <f>HYPERLINK("https://klasma.github.io/Logging_MOTALA/artfynd/A 16870-2021.xlsx", "A 16870-2021")</f>
        <v/>
      </c>
      <c r="T255">
        <f>HYPERLINK("https://klasma.github.io/Logging_MOTALA/kartor/A 16870-2021.png", "A 16870-2021")</f>
        <v/>
      </c>
      <c r="V255">
        <f>HYPERLINK("https://klasma.github.io/Logging_MOTALA/klagomål/A 16870-2021.docx", "A 16870-2021")</f>
        <v/>
      </c>
      <c r="W255">
        <f>HYPERLINK("https://klasma.github.io/Logging_MOTALA/klagomålsmail/A 16870-2021.docx", "A 16870-2021")</f>
        <v/>
      </c>
      <c r="X255">
        <f>HYPERLINK("https://klasma.github.io/Logging_MOTALA/tillsyn/A 16870-2021.docx", "A 16870-2021")</f>
        <v/>
      </c>
      <c r="Y255">
        <f>HYPERLINK("https://klasma.github.io/Logging_MOTALA/tillsynsmail/A 16870-2021.docx", "A 16870-2021")</f>
        <v/>
      </c>
    </row>
    <row r="256" ht="15" customHeight="1">
      <c r="A256" t="inlineStr">
        <is>
          <t>A 16747-2021</t>
        </is>
      </c>
      <c r="B256" s="1" t="n">
        <v>44294</v>
      </c>
      <c r="C256" s="1" t="n">
        <v>45192</v>
      </c>
      <c r="D256" t="inlineStr">
        <is>
          <t>ÖSTERGÖTLANDS LÄN</t>
        </is>
      </c>
      <c r="E256" t="inlineStr">
        <is>
          <t>FINSPÅNG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HYPERLINK("https://klasma.github.io/Logging_FINSPANG/artfynd/A 16747-2021.xlsx", "A 16747-2021")</f>
        <v/>
      </c>
      <c r="T256">
        <f>HYPERLINK("https://klasma.github.io/Logging_FINSPANG/kartor/A 16747-2021.png", "A 16747-2021")</f>
        <v/>
      </c>
      <c r="V256">
        <f>HYPERLINK("https://klasma.github.io/Logging_FINSPANG/klagomål/A 16747-2021.docx", "A 16747-2021")</f>
        <v/>
      </c>
      <c r="W256">
        <f>HYPERLINK("https://klasma.github.io/Logging_FINSPANG/klagomålsmail/A 16747-2021.docx", "A 16747-2021")</f>
        <v/>
      </c>
      <c r="X256">
        <f>HYPERLINK("https://klasma.github.io/Logging_FINSPANG/tillsyn/A 16747-2021.docx", "A 16747-2021")</f>
        <v/>
      </c>
      <c r="Y256">
        <f>HYPERLINK("https://klasma.github.io/Logging_FINSPANG/tillsynsmail/A 16747-2021.docx", "A 16747-2021")</f>
        <v/>
      </c>
    </row>
    <row r="257" ht="15" customHeight="1">
      <c r="A257" t="inlineStr">
        <is>
          <t>A 19103-2021</t>
        </is>
      </c>
      <c r="B257" s="1" t="n">
        <v>44308</v>
      </c>
      <c r="C257" s="1" t="n">
        <v>45192</v>
      </c>
      <c r="D257" t="inlineStr">
        <is>
          <t>ÖSTERGÖTLANDS LÄN</t>
        </is>
      </c>
      <c r="E257" t="inlineStr">
        <is>
          <t>LINKÖPING</t>
        </is>
      </c>
      <c r="G257" t="n">
        <v>4.7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Tallticka</t>
        </is>
      </c>
      <c r="S257">
        <f>HYPERLINK("https://klasma.github.io/Logging_LINKOPING/artfynd/A 19103-2021.xlsx", "A 19103-2021")</f>
        <v/>
      </c>
      <c r="T257">
        <f>HYPERLINK("https://klasma.github.io/Logging_LINKOPING/kartor/A 19103-2021.png", "A 19103-2021")</f>
        <v/>
      </c>
      <c r="V257">
        <f>HYPERLINK("https://klasma.github.io/Logging_LINKOPING/klagomål/A 19103-2021.docx", "A 19103-2021")</f>
        <v/>
      </c>
      <c r="W257">
        <f>HYPERLINK("https://klasma.github.io/Logging_LINKOPING/klagomålsmail/A 19103-2021.docx", "A 19103-2021")</f>
        <v/>
      </c>
      <c r="X257">
        <f>HYPERLINK("https://klasma.github.io/Logging_LINKOPING/tillsyn/A 19103-2021.docx", "A 19103-2021")</f>
        <v/>
      </c>
      <c r="Y257">
        <f>HYPERLINK("https://klasma.github.io/Logging_LINKOPING/tillsynsmail/A 19103-2021.docx", "A 19103-2021")</f>
        <v/>
      </c>
    </row>
    <row r="258" ht="15" customHeight="1">
      <c r="A258" t="inlineStr">
        <is>
          <t>A 19825-2021</t>
        </is>
      </c>
      <c r="B258" s="1" t="n">
        <v>44313</v>
      </c>
      <c r="C258" s="1" t="n">
        <v>45192</v>
      </c>
      <c r="D258" t="inlineStr">
        <is>
          <t>ÖSTERGÖTLANDS LÄN</t>
        </is>
      </c>
      <c r="E258" t="inlineStr">
        <is>
          <t>NORRKÖPING</t>
        </is>
      </c>
      <c r="F258" t="inlineStr">
        <is>
          <t>Holmen skog AB</t>
        </is>
      </c>
      <c r="G258" t="n">
        <v>1.8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Gullklöver</t>
        </is>
      </c>
      <c r="S258">
        <f>HYPERLINK("https://klasma.github.io/Logging_NORRKOPING/artfynd/A 19825-2021.xlsx", "A 19825-2021")</f>
        <v/>
      </c>
      <c r="T258">
        <f>HYPERLINK("https://klasma.github.io/Logging_NORRKOPING/kartor/A 19825-2021.png", "A 19825-2021")</f>
        <v/>
      </c>
      <c r="V258">
        <f>HYPERLINK("https://klasma.github.io/Logging_NORRKOPING/klagomål/A 19825-2021.docx", "A 19825-2021")</f>
        <v/>
      </c>
      <c r="W258">
        <f>HYPERLINK("https://klasma.github.io/Logging_NORRKOPING/klagomålsmail/A 19825-2021.docx", "A 19825-2021")</f>
        <v/>
      </c>
      <c r="X258">
        <f>HYPERLINK("https://klasma.github.io/Logging_NORRKOPING/tillsyn/A 19825-2021.docx", "A 19825-2021")</f>
        <v/>
      </c>
      <c r="Y258">
        <f>HYPERLINK("https://klasma.github.io/Logging_NORRKOPING/tillsynsmail/A 19825-2021.docx", "A 19825-2021")</f>
        <v/>
      </c>
    </row>
    <row r="259" ht="15" customHeight="1">
      <c r="A259" t="inlineStr">
        <is>
          <t>A 25288-2021</t>
        </is>
      </c>
      <c r="B259" s="1" t="n">
        <v>44342</v>
      </c>
      <c r="C259" s="1" t="n">
        <v>45192</v>
      </c>
      <c r="D259" t="inlineStr">
        <is>
          <t>ÖSTERGÖTLANDS LÄN</t>
        </is>
      </c>
      <c r="E259" t="inlineStr">
        <is>
          <t>KINDA</t>
        </is>
      </c>
      <c r="G259" t="n">
        <v>3.3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Smalsprötad bastardsvärmare</t>
        </is>
      </c>
      <c r="S259">
        <f>HYPERLINK("https://klasma.github.io/Logging_KINDA/artfynd/A 25288-2021.xlsx", "A 25288-2021")</f>
        <v/>
      </c>
      <c r="T259">
        <f>HYPERLINK("https://klasma.github.io/Logging_KINDA/kartor/A 25288-2021.png", "A 25288-2021")</f>
        <v/>
      </c>
      <c r="V259">
        <f>HYPERLINK("https://klasma.github.io/Logging_KINDA/klagomål/A 25288-2021.docx", "A 25288-2021")</f>
        <v/>
      </c>
      <c r="W259">
        <f>HYPERLINK("https://klasma.github.io/Logging_KINDA/klagomålsmail/A 25288-2021.docx", "A 25288-2021")</f>
        <v/>
      </c>
      <c r="X259">
        <f>HYPERLINK("https://klasma.github.io/Logging_KINDA/tillsyn/A 25288-2021.docx", "A 25288-2021")</f>
        <v/>
      </c>
      <c r="Y259">
        <f>HYPERLINK("https://klasma.github.io/Logging_KINDA/tillsynsmail/A 25288-2021.docx", "A 25288-2021")</f>
        <v/>
      </c>
    </row>
    <row r="260" ht="15" customHeight="1">
      <c r="A260" t="inlineStr">
        <is>
          <t>A 25392-2021</t>
        </is>
      </c>
      <c r="B260" s="1" t="n">
        <v>44342</v>
      </c>
      <c r="C260" s="1" t="n">
        <v>45192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4.9</v>
      </c>
      <c r="H260" t="n">
        <v>1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Talltita</t>
        </is>
      </c>
      <c r="S260">
        <f>HYPERLINK("https://klasma.github.io/Logging_NORRKOPING/artfynd/A 25392-2021.xlsx", "A 25392-2021")</f>
        <v/>
      </c>
      <c r="T260">
        <f>HYPERLINK("https://klasma.github.io/Logging_NORRKOPING/kartor/A 25392-2021.png", "A 25392-2021")</f>
        <v/>
      </c>
      <c r="V260">
        <f>HYPERLINK("https://klasma.github.io/Logging_NORRKOPING/klagomål/A 25392-2021.docx", "A 25392-2021")</f>
        <v/>
      </c>
      <c r="W260">
        <f>HYPERLINK("https://klasma.github.io/Logging_NORRKOPING/klagomålsmail/A 25392-2021.docx", "A 25392-2021")</f>
        <v/>
      </c>
      <c r="X260">
        <f>HYPERLINK("https://klasma.github.io/Logging_NORRKOPING/tillsyn/A 25392-2021.docx", "A 25392-2021")</f>
        <v/>
      </c>
      <c r="Y260">
        <f>HYPERLINK("https://klasma.github.io/Logging_NORRKOPING/tillsynsmail/A 25392-2021.docx", "A 25392-2021")</f>
        <v/>
      </c>
    </row>
    <row r="261" ht="15" customHeight="1">
      <c r="A261" t="inlineStr">
        <is>
          <t>A 25614-2021</t>
        </is>
      </c>
      <c r="B261" s="1" t="n">
        <v>44343</v>
      </c>
      <c r="C261" s="1" t="n">
        <v>45192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13.4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Fällmossa</t>
        </is>
      </c>
      <c r="S261">
        <f>HYPERLINK("https://klasma.github.io/Logging_NORRKOPING/artfynd/A 25614-2021.xlsx", "A 25614-2021")</f>
        <v/>
      </c>
      <c r="T261">
        <f>HYPERLINK("https://klasma.github.io/Logging_NORRKOPING/kartor/A 25614-2021.png", "A 25614-2021")</f>
        <v/>
      </c>
      <c r="V261">
        <f>HYPERLINK("https://klasma.github.io/Logging_NORRKOPING/klagomål/A 25614-2021.docx", "A 25614-2021")</f>
        <v/>
      </c>
      <c r="W261">
        <f>HYPERLINK("https://klasma.github.io/Logging_NORRKOPING/klagomålsmail/A 25614-2021.docx", "A 25614-2021")</f>
        <v/>
      </c>
      <c r="X261">
        <f>HYPERLINK("https://klasma.github.io/Logging_NORRKOPING/tillsyn/A 25614-2021.docx", "A 25614-2021")</f>
        <v/>
      </c>
      <c r="Y261">
        <f>HYPERLINK("https://klasma.github.io/Logging_NORRKOPING/tillsynsmail/A 25614-2021.docx", "A 25614-2021")</f>
        <v/>
      </c>
    </row>
    <row r="262" ht="15" customHeight="1">
      <c r="A262" t="inlineStr">
        <is>
          <t>A 25868-2021</t>
        </is>
      </c>
      <c r="B262" s="1" t="n">
        <v>44344</v>
      </c>
      <c r="C262" s="1" t="n">
        <v>45192</v>
      </c>
      <c r="D262" t="inlineStr">
        <is>
          <t>ÖSTERGÖTLANDS LÄN</t>
        </is>
      </c>
      <c r="E262" t="inlineStr">
        <is>
          <t>ÖDESHÖG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HYPERLINK("https://klasma.github.io/Logging_ODESHOG/artfynd/A 25868-2021.xlsx", "A 25868-2021")</f>
        <v/>
      </c>
      <c r="T262">
        <f>HYPERLINK("https://klasma.github.io/Logging_ODESHOG/kartor/A 25868-2021.png", "A 25868-2021")</f>
        <v/>
      </c>
      <c r="V262">
        <f>HYPERLINK("https://klasma.github.io/Logging_ODESHOG/klagomål/A 25868-2021.docx", "A 25868-2021")</f>
        <v/>
      </c>
      <c r="W262">
        <f>HYPERLINK("https://klasma.github.io/Logging_ODESHOG/klagomålsmail/A 25868-2021.docx", "A 25868-2021")</f>
        <v/>
      </c>
      <c r="X262">
        <f>HYPERLINK("https://klasma.github.io/Logging_ODESHOG/tillsyn/A 25868-2021.docx", "A 25868-2021")</f>
        <v/>
      </c>
      <c r="Y262">
        <f>HYPERLINK("https://klasma.github.io/Logging_ODESHOG/tillsynsmail/A 25868-2021.docx", "A 25868-2021")</f>
        <v/>
      </c>
    </row>
    <row r="263" ht="15" customHeight="1">
      <c r="A263" t="inlineStr">
        <is>
          <t>A 27863-2021</t>
        </is>
      </c>
      <c r="B263" s="1" t="n">
        <v>44354</v>
      </c>
      <c r="C263" s="1" t="n">
        <v>45192</v>
      </c>
      <c r="D263" t="inlineStr">
        <is>
          <t>ÖSTERGÖTLANDS LÄN</t>
        </is>
      </c>
      <c r="E263" t="inlineStr">
        <is>
          <t>NORRKÖPING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1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Ask</t>
        </is>
      </c>
      <c r="S263">
        <f>HYPERLINK("https://klasma.github.io/Logging_NORRKOPING/artfynd/A 27863-2021.xlsx", "A 27863-2021")</f>
        <v/>
      </c>
      <c r="T263">
        <f>HYPERLINK("https://klasma.github.io/Logging_NORRKOPING/kartor/A 27863-2021.png", "A 27863-2021")</f>
        <v/>
      </c>
      <c r="V263">
        <f>HYPERLINK("https://klasma.github.io/Logging_NORRKOPING/klagomål/A 27863-2021.docx", "A 27863-2021")</f>
        <v/>
      </c>
      <c r="W263">
        <f>HYPERLINK("https://klasma.github.io/Logging_NORRKOPING/klagomålsmail/A 27863-2021.docx", "A 27863-2021")</f>
        <v/>
      </c>
      <c r="X263">
        <f>HYPERLINK("https://klasma.github.io/Logging_NORRKOPING/tillsyn/A 27863-2021.docx", "A 27863-2021")</f>
        <v/>
      </c>
      <c r="Y263">
        <f>HYPERLINK("https://klasma.github.io/Logging_NORRKOPING/tillsynsmail/A 27863-2021.docx", "A 27863-2021")</f>
        <v/>
      </c>
    </row>
    <row r="264" ht="15" customHeight="1">
      <c r="A264" t="inlineStr">
        <is>
          <t>A 28953-2021</t>
        </is>
      </c>
      <c r="B264" s="1" t="n">
        <v>44358</v>
      </c>
      <c r="C264" s="1" t="n">
        <v>45192</v>
      </c>
      <c r="D264" t="inlineStr">
        <is>
          <t>ÖSTERGÖTLANDS LÄN</t>
        </is>
      </c>
      <c r="E264" t="inlineStr">
        <is>
          <t>YDRE</t>
        </is>
      </c>
      <c r="G264" t="n">
        <v>2.2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Hårklomossa</t>
        </is>
      </c>
      <c r="S264">
        <f>HYPERLINK("https://klasma.github.io/Logging_YDRE/artfynd/A 28953-2021.xlsx", "A 28953-2021")</f>
        <v/>
      </c>
      <c r="T264">
        <f>HYPERLINK("https://klasma.github.io/Logging_YDRE/kartor/A 28953-2021.png", "A 28953-2021")</f>
        <v/>
      </c>
      <c r="V264">
        <f>HYPERLINK("https://klasma.github.io/Logging_YDRE/klagomål/A 28953-2021.docx", "A 28953-2021")</f>
        <v/>
      </c>
      <c r="W264">
        <f>HYPERLINK("https://klasma.github.io/Logging_YDRE/klagomålsmail/A 28953-2021.docx", "A 28953-2021")</f>
        <v/>
      </c>
      <c r="X264">
        <f>HYPERLINK("https://klasma.github.io/Logging_YDRE/tillsyn/A 28953-2021.docx", "A 28953-2021")</f>
        <v/>
      </c>
      <c r="Y264">
        <f>HYPERLINK("https://klasma.github.io/Logging_YDRE/tillsynsmail/A 28953-2021.docx", "A 28953-2021")</f>
        <v/>
      </c>
    </row>
    <row r="265" ht="15" customHeight="1">
      <c r="A265" t="inlineStr">
        <is>
          <t>A 34171-2021</t>
        </is>
      </c>
      <c r="B265" s="1" t="n">
        <v>44379</v>
      </c>
      <c r="C265" s="1" t="n">
        <v>45192</v>
      </c>
      <c r="D265" t="inlineStr">
        <is>
          <t>ÖSTERGÖTLANDS LÄN</t>
        </is>
      </c>
      <c r="E265" t="inlineStr">
        <is>
          <t>SÖDERKÖPING</t>
        </is>
      </c>
      <c r="G265" t="n">
        <v>3.8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Tjockfotad fingersvamp</t>
        </is>
      </c>
      <c r="S265">
        <f>HYPERLINK("https://klasma.github.io/Logging_SODERKOPING/artfynd/A 34171-2021.xlsx", "A 34171-2021")</f>
        <v/>
      </c>
      <c r="T265">
        <f>HYPERLINK("https://klasma.github.io/Logging_SODERKOPING/kartor/A 34171-2021.png", "A 34171-2021")</f>
        <v/>
      </c>
      <c r="V265">
        <f>HYPERLINK("https://klasma.github.io/Logging_SODERKOPING/klagomål/A 34171-2021.docx", "A 34171-2021")</f>
        <v/>
      </c>
      <c r="W265">
        <f>HYPERLINK("https://klasma.github.io/Logging_SODERKOPING/klagomålsmail/A 34171-2021.docx", "A 34171-2021")</f>
        <v/>
      </c>
      <c r="X265">
        <f>HYPERLINK("https://klasma.github.io/Logging_SODERKOPING/tillsyn/A 34171-2021.docx", "A 34171-2021")</f>
        <v/>
      </c>
      <c r="Y265">
        <f>HYPERLINK("https://klasma.github.io/Logging_SODERKOPING/tillsynsmail/A 34171-2021.docx", "A 34171-2021")</f>
        <v/>
      </c>
    </row>
    <row r="266" ht="15" customHeight="1">
      <c r="A266" t="inlineStr">
        <is>
          <t>A 38056-2021</t>
        </is>
      </c>
      <c r="B266" s="1" t="n">
        <v>44404</v>
      </c>
      <c r="C266" s="1" t="n">
        <v>45192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Holmen skog AB</t>
        </is>
      </c>
      <c r="G266" t="n">
        <v>2.3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Flagellkvastmossa</t>
        </is>
      </c>
      <c r="S266">
        <f>HYPERLINK("https://klasma.github.io/Logging_FINSPANG/artfynd/A 38056-2021.xlsx", "A 38056-2021")</f>
        <v/>
      </c>
      <c r="T266">
        <f>HYPERLINK("https://klasma.github.io/Logging_FINSPANG/kartor/A 38056-2021.png", "A 38056-2021")</f>
        <v/>
      </c>
      <c r="V266">
        <f>HYPERLINK("https://klasma.github.io/Logging_FINSPANG/klagomål/A 38056-2021.docx", "A 38056-2021")</f>
        <v/>
      </c>
      <c r="W266">
        <f>HYPERLINK("https://klasma.github.io/Logging_FINSPANG/klagomålsmail/A 38056-2021.docx", "A 38056-2021")</f>
        <v/>
      </c>
      <c r="X266">
        <f>HYPERLINK("https://klasma.github.io/Logging_FINSPANG/tillsyn/A 38056-2021.docx", "A 38056-2021")</f>
        <v/>
      </c>
      <c r="Y266">
        <f>HYPERLINK("https://klasma.github.io/Logging_FINSPANG/tillsynsmail/A 38056-2021.docx", "A 38056-2021")</f>
        <v/>
      </c>
    </row>
    <row r="267" ht="15" customHeight="1">
      <c r="A267" t="inlineStr">
        <is>
          <t>A 39488-2021</t>
        </is>
      </c>
      <c r="B267" s="1" t="n">
        <v>44414</v>
      </c>
      <c r="C267" s="1" t="n">
        <v>45192</v>
      </c>
      <c r="D267" t="inlineStr">
        <is>
          <t>ÖSTERGÖTLANDS LÄN</t>
        </is>
      </c>
      <c r="E267" t="inlineStr">
        <is>
          <t>ÅTVIDABERG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Ekticka</t>
        </is>
      </c>
      <c r="S267">
        <f>HYPERLINK("https://klasma.github.io/Logging_ATVIDABERG/artfynd/A 39488-2021.xlsx", "A 39488-2021")</f>
        <v/>
      </c>
      <c r="T267">
        <f>HYPERLINK("https://klasma.github.io/Logging_ATVIDABERG/kartor/A 39488-2021.png", "A 39488-2021")</f>
        <v/>
      </c>
      <c r="V267">
        <f>HYPERLINK("https://klasma.github.io/Logging_ATVIDABERG/klagomål/A 39488-2021.docx", "A 39488-2021")</f>
        <v/>
      </c>
      <c r="W267">
        <f>HYPERLINK("https://klasma.github.io/Logging_ATVIDABERG/klagomålsmail/A 39488-2021.docx", "A 39488-2021")</f>
        <v/>
      </c>
      <c r="X267">
        <f>HYPERLINK("https://klasma.github.io/Logging_ATVIDABERG/tillsyn/A 39488-2021.docx", "A 39488-2021")</f>
        <v/>
      </c>
      <c r="Y267">
        <f>HYPERLINK("https://klasma.github.io/Logging_ATVIDABERG/tillsynsmail/A 39488-2021.docx", "A 39488-2021")</f>
        <v/>
      </c>
    </row>
    <row r="268" ht="15" customHeight="1">
      <c r="A268" t="inlineStr">
        <is>
          <t>A 40100-2021</t>
        </is>
      </c>
      <c r="B268" s="1" t="n">
        <v>44418</v>
      </c>
      <c r="C268" s="1" t="n">
        <v>45192</v>
      </c>
      <c r="D268" t="inlineStr">
        <is>
          <t>ÖSTERGÖTLANDS LÄN</t>
        </is>
      </c>
      <c r="E268" t="inlineStr">
        <is>
          <t>KINDA</t>
        </is>
      </c>
      <c r="G268" t="n">
        <v>0.6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Grönpyrola</t>
        </is>
      </c>
      <c r="S268">
        <f>HYPERLINK("https://klasma.github.io/Logging_KINDA/artfynd/A 40100-2021.xlsx", "A 40100-2021")</f>
        <v/>
      </c>
      <c r="T268">
        <f>HYPERLINK("https://klasma.github.io/Logging_KINDA/kartor/A 40100-2021.png", "A 40100-2021")</f>
        <v/>
      </c>
      <c r="V268">
        <f>HYPERLINK("https://klasma.github.io/Logging_KINDA/klagomål/A 40100-2021.docx", "A 40100-2021")</f>
        <v/>
      </c>
      <c r="W268">
        <f>HYPERLINK("https://klasma.github.io/Logging_KINDA/klagomålsmail/A 40100-2021.docx", "A 40100-2021")</f>
        <v/>
      </c>
      <c r="X268">
        <f>HYPERLINK("https://klasma.github.io/Logging_KINDA/tillsyn/A 40100-2021.docx", "A 40100-2021")</f>
        <v/>
      </c>
      <c r="Y268">
        <f>HYPERLINK("https://klasma.github.io/Logging_KINDA/tillsynsmail/A 40100-2021.docx", "A 40100-2021")</f>
        <v/>
      </c>
    </row>
    <row r="269" ht="15" customHeight="1">
      <c r="A269" t="inlineStr">
        <is>
          <t>A 40463-2021</t>
        </is>
      </c>
      <c r="B269" s="1" t="n">
        <v>44419</v>
      </c>
      <c r="C269" s="1" t="n">
        <v>45192</v>
      </c>
      <c r="D269" t="inlineStr">
        <is>
          <t>ÖSTERGÖTLANDS LÄN</t>
        </is>
      </c>
      <c r="E269" t="inlineStr">
        <is>
          <t>KINDA</t>
        </is>
      </c>
      <c r="G269" t="n">
        <v>11.5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Fjällig taggsvamp s.str.</t>
        </is>
      </c>
      <c r="S269">
        <f>HYPERLINK("https://klasma.github.io/Logging_KINDA/artfynd/A 40463-2021.xlsx", "A 40463-2021")</f>
        <v/>
      </c>
      <c r="T269">
        <f>HYPERLINK("https://klasma.github.io/Logging_KINDA/kartor/A 40463-2021.png", "A 40463-2021")</f>
        <v/>
      </c>
      <c r="V269">
        <f>HYPERLINK("https://klasma.github.io/Logging_KINDA/klagomål/A 40463-2021.docx", "A 40463-2021")</f>
        <v/>
      </c>
      <c r="W269">
        <f>HYPERLINK("https://klasma.github.io/Logging_KINDA/klagomålsmail/A 40463-2021.docx", "A 40463-2021")</f>
        <v/>
      </c>
      <c r="X269">
        <f>HYPERLINK("https://klasma.github.io/Logging_KINDA/tillsyn/A 40463-2021.docx", "A 40463-2021")</f>
        <v/>
      </c>
      <c r="Y269">
        <f>HYPERLINK("https://klasma.github.io/Logging_KINDA/tillsynsmail/A 40463-2021.docx", "A 40463-2021")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45192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42188-2021.xlsx", "A 42188-2021")</f>
        <v/>
      </c>
      <c r="T270">
        <f>HYPERLINK("https://klasma.github.io/Logging_NORRKOPING/kartor/A 42188-2021.png", "A 42188-2021")</f>
        <v/>
      </c>
      <c r="V270">
        <f>HYPERLINK("https://klasma.github.io/Logging_NORRKOPING/klagomål/A 42188-2021.docx", "A 42188-2021")</f>
        <v/>
      </c>
      <c r="W270">
        <f>HYPERLINK("https://klasma.github.io/Logging_NORRKOPING/klagomålsmail/A 42188-2021.docx", "A 42188-2021")</f>
        <v/>
      </c>
      <c r="X270">
        <f>HYPERLINK("https://klasma.github.io/Logging_NORRKOPING/tillsyn/A 42188-2021.docx", "A 42188-2021")</f>
        <v/>
      </c>
      <c r="Y270">
        <f>HYPERLINK("https://klasma.github.io/Logging_NORRKOPING/tillsynsmail/A 42188-2021.docx", "A 42188-2021")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45192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42909-2021.xlsx", "A 42909-2021")</f>
        <v/>
      </c>
      <c r="T271">
        <f>HYPERLINK("https://klasma.github.io/Logging_SODERKOPING/kartor/A 42909-2021.png", "A 42909-2021")</f>
        <v/>
      </c>
      <c r="V271">
        <f>HYPERLINK("https://klasma.github.io/Logging_SODERKOPING/klagomål/A 42909-2021.docx", "A 42909-2021")</f>
        <v/>
      </c>
      <c r="W271">
        <f>HYPERLINK("https://klasma.github.io/Logging_SODERKOPING/klagomålsmail/A 42909-2021.docx", "A 42909-2021")</f>
        <v/>
      </c>
      <c r="X271">
        <f>HYPERLINK("https://klasma.github.io/Logging_SODERKOPING/tillsyn/A 42909-2021.docx", "A 42909-2021")</f>
        <v/>
      </c>
      <c r="Y271">
        <f>HYPERLINK("https://klasma.github.io/Logging_SODERKOPING/tillsynsmail/A 42909-2021.docx", "A 42909-2021")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45192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44552-2021.xlsx", "A 44552-2021")</f>
        <v/>
      </c>
      <c r="T272">
        <f>HYPERLINK("https://klasma.github.io/Logging_KINDA/kartor/A 44552-2021.png", "A 44552-2021")</f>
        <v/>
      </c>
      <c r="V272">
        <f>HYPERLINK("https://klasma.github.io/Logging_KINDA/klagomål/A 44552-2021.docx", "A 44552-2021")</f>
        <v/>
      </c>
      <c r="W272">
        <f>HYPERLINK("https://klasma.github.io/Logging_KINDA/klagomålsmail/A 44552-2021.docx", "A 44552-2021")</f>
        <v/>
      </c>
      <c r="X272">
        <f>HYPERLINK("https://klasma.github.io/Logging_KINDA/tillsyn/A 44552-2021.docx", "A 44552-2021")</f>
        <v/>
      </c>
      <c r="Y272">
        <f>HYPERLINK("https://klasma.github.io/Logging_KINDA/tillsynsmail/A 44552-2021.docx", "A 44552-2021")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45192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48612-2021.xlsx", "A 48612-2021")</f>
        <v/>
      </c>
      <c r="T273">
        <f>HYPERLINK("https://klasma.github.io/Logging_NORRKOPING/kartor/A 48612-2021.png", "A 48612-2021")</f>
        <v/>
      </c>
      <c r="V273">
        <f>HYPERLINK("https://klasma.github.io/Logging_NORRKOPING/klagomål/A 48612-2021.docx", "A 48612-2021")</f>
        <v/>
      </c>
      <c r="W273">
        <f>HYPERLINK("https://klasma.github.io/Logging_NORRKOPING/klagomålsmail/A 48612-2021.docx", "A 48612-2021")</f>
        <v/>
      </c>
      <c r="X273">
        <f>HYPERLINK("https://klasma.github.io/Logging_NORRKOPING/tillsyn/A 48612-2021.docx", "A 48612-2021")</f>
        <v/>
      </c>
      <c r="Y273">
        <f>HYPERLINK("https://klasma.github.io/Logging_NORRKOPING/tillsynsmail/A 48612-2021.docx", "A 48612-2021")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45192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49305-2021.xlsx", "A 49305-2021")</f>
        <v/>
      </c>
      <c r="T274">
        <f>HYPERLINK("https://klasma.github.io/Logging_MOTALA/kartor/A 49305-2021.png", "A 49305-2021")</f>
        <v/>
      </c>
      <c r="V274">
        <f>HYPERLINK("https://klasma.github.io/Logging_MOTALA/klagomål/A 49305-2021.docx", "A 49305-2021")</f>
        <v/>
      </c>
      <c r="W274">
        <f>HYPERLINK("https://klasma.github.io/Logging_MOTALA/klagomålsmail/A 49305-2021.docx", "A 49305-2021")</f>
        <v/>
      </c>
      <c r="X274">
        <f>HYPERLINK("https://klasma.github.io/Logging_MOTALA/tillsyn/A 49305-2021.docx", "A 49305-2021")</f>
        <v/>
      </c>
      <c r="Y274">
        <f>HYPERLINK("https://klasma.github.io/Logging_MOTALA/tillsynsmail/A 49305-2021.docx", "A 49305-2021")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45192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53277-2021.xlsx", "A 53277-2021")</f>
        <v/>
      </c>
      <c r="T275">
        <f>HYPERLINK("https://klasma.github.io/Logging_YDRE/kartor/A 53277-2021.png", "A 53277-2021")</f>
        <v/>
      </c>
      <c r="V275">
        <f>HYPERLINK("https://klasma.github.io/Logging_YDRE/klagomål/A 53277-2021.docx", "A 53277-2021")</f>
        <v/>
      </c>
      <c r="W275">
        <f>HYPERLINK("https://klasma.github.io/Logging_YDRE/klagomålsmail/A 53277-2021.docx", "A 53277-2021")</f>
        <v/>
      </c>
      <c r="X275">
        <f>HYPERLINK("https://klasma.github.io/Logging_YDRE/tillsyn/A 53277-2021.docx", "A 53277-2021")</f>
        <v/>
      </c>
      <c r="Y275">
        <f>HYPERLINK("https://klasma.github.io/Logging_YDRE/tillsynsmail/A 53277-2021.docx", "A 53277-2021")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45192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53316-2021.xlsx", "A 53316-2021")</f>
        <v/>
      </c>
      <c r="T276">
        <f>HYPERLINK("https://klasma.github.io/Logging_YDRE/kartor/A 53316-2021.png", "A 53316-2021")</f>
        <v/>
      </c>
      <c r="V276">
        <f>HYPERLINK("https://klasma.github.io/Logging_YDRE/klagomål/A 53316-2021.docx", "A 53316-2021")</f>
        <v/>
      </c>
      <c r="W276">
        <f>HYPERLINK("https://klasma.github.io/Logging_YDRE/klagomålsmail/A 53316-2021.docx", "A 53316-2021")</f>
        <v/>
      </c>
      <c r="X276">
        <f>HYPERLINK("https://klasma.github.io/Logging_YDRE/tillsyn/A 53316-2021.docx", "A 53316-2021")</f>
        <v/>
      </c>
      <c r="Y276">
        <f>HYPERLINK("https://klasma.github.io/Logging_YDRE/tillsynsmail/A 53316-2021.docx", "A 53316-2021")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45192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56250-2021.xlsx", "A 56250-2021")</f>
        <v/>
      </c>
      <c r="T277">
        <f>HYPERLINK("https://klasma.github.io/Logging_LINKOPING/kartor/A 56250-2021.png", "A 56250-2021")</f>
        <v/>
      </c>
      <c r="V277">
        <f>HYPERLINK("https://klasma.github.io/Logging_LINKOPING/klagomål/A 56250-2021.docx", "A 56250-2021")</f>
        <v/>
      </c>
      <c r="W277">
        <f>HYPERLINK("https://klasma.github.io/Logging_LINKOPING/klagomålsmail/A 56250-2021.docx", "A 56250-2021")</f>
        <v/>
      </c>
      <c r="X277">
        <f>HYPERLINK("https://klasma.github.io/Logging_LINKOPING/tillsyn/A 56250-2021.docx", "A 56250-2021")</f>
        <v/>
      </c>
      <c r="Y277">
        <f>HYPERLINK("https://klasma.github.io/Logging_LINKOPING/tillsynsmail/A 56250-2021.docx", "A 56250-2021")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45192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56584-2021.xlsx", "A 56584-2021")</f>
        <v/>
      </c>
      <c r="T278">
        <f>HYPERLINK("https://klasma.github.io/Logging_NORRKOPING/kartor/A 56584-2021.png", "A 56584-2021")</f>
        <v/>
      </c>
      <c r="V278">
        <f>HYPERLINK("https://klasma.github.io/Logging_NORRKOPING/klagomål/A 56584-2021.docx", "A 56584-2021")</f>
        <v/>
      </c>
      <c r="W278">
        <f>HYPERLINK("https://klasma.github.io/Logging_NORRKOPING/klagomålsmail/A 56584-2021.docx", "A 56584-2021")</f>
        <v/>
      </c>
      <c r="X278">
        <f>HYPERLINK("https://klasma.github.io/Logging_NORRKOPING/tillsyn/A 56584-2021.docx", "A 56584-2021")</f>
        <v/>
      </c>
      <c r="Y278">
        <f>HYPERLINK("https://klasma.github.io/Logging_NORRKOPING/tillsynsmail/A 56584-2021.docx", "A 56584-2021")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45192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56668-2021.xlsx", "A 56668-2021")</f>
        <v/>
      </c>
      <c r="T279">
        <f>HYPERLINK("https://klasma.github.io/Logging_SODERKOPING/kartor/A 56668-2021.png", "A 56668-2021")</f>
        <v/>
      </c>
      <c r="U279">
        <f>HYPERLINK("https://klasma.github.io/Logging_SODERKOPING/knärot/A 56668-2021.png", "A 56668-2021")</f>
        <v/>
      </c>
      <c r="V279">
        <f>HYPERLINK("https://klasma.github.io/Logging_SODERKOPING/klagomål/A 56668-2021.docx", "A 56668-2021")</f>
        <v/>
      </c>
      <c r="W279">
        <f>HYPERLINK("https://klasma.github.io/Logging_SODERKOPING/klagomålsmail/A 56668-2021.docx", "A 56668-2021")</f>
        <v/>
      </c>
      <c r="X279">
        <f>HYPERLINK("https://klasma.github.io/Logging_SODERKOPING/tillsyn/A 56668-2021.docx", "A 56668-2021")</f>
        <v/>
      </c>
      <c r="Y279">
        <f>HYPERLINK("https://klasma.github.io/Logging_SODERKOPING/tillsynsmail/A 56668-2021.docx", "A 56668-2021")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45192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57456-2021.xlsx", "A 57456-2021")</f>
        <v/>
      </c>
      <c r="T280">
        <f>HYPERLINK("https://klasma.github.io/Logging_KINDA/kartor/A 57456-2021.png", "A 57456-2021")</f>
        <v/>
      </c>
      <c r="V280">
        <f>HYPERLINK("https://klasma.github.io/Logging_KINDA/klagomål/A 57456-2021.docx", "A 57456-2021")</f>
        <v/>
      </c>
      <c r="W280">
        <f>HYPERLINK("https://klasma.github.io/Logging_KINDA/klagomålsmail/A 57456-2021.docx", "A 57456-2021")</f>
        <v/>
      </c>
      <c r="X280">
        <f>HYPERLINK("https://klasma.github.io/Logging_KINDA/tillsyn/A 57456-2021.docx", "A 57456-2021")</f>
        <v/>
      </c>
      <c r="Y280">
        <f>HYPERLINK("https://klasma.github.io/Logging_KINDA/tillsynsmail/A 57456-2021.docx", "A 57456-2021")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45192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59254-2021.xlsx", "A 59254-2021")</f>
        <v/>
      </c>
      <c r="T281">
        <f>HYPERLINK("https://klasma.github.io/Logging_NORRKOPING/kartor/A 59254-2021.png", "A 59254-2021")</f>
        <v/>
      </c>
      <c r="V281">
        <f>HYPERLINK("https://klasma.github.io/Logging_NORRKOPING/klagomål/A 59254-2021.docx", "A 59254-2021")</f>
        <v/>
      </c>
      <c r="W281">
        <f>HYPERLINK("https://klasma.github.io/Logging_NORRKOPING/klagomålsmail/A 59254-2021.docx", "A 59254-2021")</f>
        <v/>
      </c>
      <c r="X281">
        <f>HYPERLINK("https://klasma.github.io/Logging_NORRKOPING/tillsyn/A 59254-2021.docx", "A 59254-2021")</f>
        <v/>
      </c>
      <c r="Y281">
        <f>HYPERLINK("https://klasma.github.io/Logging_NORRKOPING/tillsynsmail/A 59254-2021.docx", "A 59254-2021")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45192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60573-2021.xlsx", "A 60573-2021")</f>
        <v/>
      </c>
      <c r="T282">
        <f>HYPERLINK("https://klasma.github.io/Logging_LINKOPING/kartor/A 60573-2021.png", "A 60573-2021")</f>
        <v/>
      </c>
      <c r="V282">
        <f>HYPERLINK("https://klasma.github.io/Logging_LINKOPING/klagomål/A 60573-2021.docx", "A 60573-2021")</f>
        <v/>
      </c>
      <c r="W282">
        <f>HYPERLINK("https://klasma.github.io/Logging_LINKOPING/klagomålsmail/A 60573-2021.docx", "A 60573-2021")</f>
        <v/>
      </c>
      <c r="X282">
        <f>HYPERLINK("https://klasma.github.io/Logging_LINKOPING/tillsyn/A 60573-2021.docx", "A 60573-2021")</f>
        <v/>
      </c>
      <c r="Y282">
        <f>HYPERLINK("https://klasma.github.io/Logging_LINKOPING/tillsynsmail/A 60573-2021.docx", "A 60573-2021")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45192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67652-2021.xlsx", "A 67652-2021")</f>
        <v/>
      </c>
      <c r="T283">
        <f>HYPERLINK("https://klasma.github.io/Logging_NORRKOPING/kartor/A 67652-2021.png", "A 67652-2021")</f>
        <v/>
      </c>
      <c r="V283">
        <f>HYPERLINK("https://klasma.github.io/Logging_NORRKOPING/klagomål/A 67652-2021.docx", "A 67652-2021")</f>
        <v/>
      </c>
      <c r="W283">
        <f>HYPERLINK("https://klasma.github.io/Logging_NORRKOPING/klagomålsmail/A 67652-2021.docx", "A 67652-2021")</f>
        <v/>
      </c>
      <c r="X283">
        <f>HYPERLINK("https://klasma.github.io/Logging_NORRKOPING/tillsyn/A 67652-2021.docx", "A 67652-2021")</f>
        <v/>
      </c>
      <c r="Y283">
        <f>HYPERLINK("https://klasma.github.io/Logging_NORRKOPING/tillsynsmail/A 67652-2021.docx", "A 67652-2021")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45192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68414-2021.xlsx", "A 68414-2021")</f>
        <v/>
      </c>
      <c r="T284">
        <f>HYPERLINK("https://klasma.github.io/Logging_FINSPANG/kartor/A 68414-2021.png", "A 68414-2021")</f>
        <v/>
      </c>
      <c r="V284">
        <f>HYPERLINK("https://klasma.github.io/Logging_FINSPANG/klagomål/A 68414-2021.docx", "A 68414-2021")</f>
        <v/>
      </c>
      <c r="W284">
        <f>HYPERLINK("https://klasma.github.io/Logging_FINSPANG/klagomålsmail/A 68414-2021.docx", "A 68414-2021")</f>
        <v/>
      </c>
      <c r="X284">
        <f>HYPERLINK("https://klasma.github.io/Logging_FINSPANG/tillsyn/A 68414-2021.docx", "A 68414-2021")</f>
        <v/>
      </c>
      <c r="Y284">
        <f>HYPERLINK("https://klasma.github.io/Logging_FINSPANG/tillsynsmail/A 68414-2021.docx", "A 68414-2021")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45192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69211-2021.xlsx", "A 69211-2021")</f>
        <v/>
      </c>
      <c r="T285">
        <f>HYPERLINK("https://klasma.github.io/Logging_LINKOPING/kartor/A 69211-2021.png", "A 69211-2021")</f>
        <v/>
      </c>
      <c r="V285">
        <f>HYPERLINK("https://klasma.github.io/Logging_LINKOPING/klagomål/A 69211-2021.docx", "A 69211-2021")</f>
        <v/>
      </c>
      <c r="W285">
        <f>HYPERLINK("https://klasma.github.io/Logging_LINKOPING/klagomålsmail/A 69211-2021.docx", "A 69211-2021")</f>
        <v/>
      </c>
      <c r="X285">
        <f>HYPERLINK("https://klasma.github.io/Logging_LINKOPING/tillsyn/A 69211-2021.docx", "A 69211-2021")</f>
        <v/>
      </c>
      <c r="Y285">
        <f>HYPERLINK("https://klasma.github.io/Logging_LINKOPING/tillsynsmail/A 69211-2021.docx", "A 69211-2021")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45192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71127-2021.xlsx", "A 71127-2021")</f>
        <v/>
      </c>
      <c r="T286">
        <f>HYPERLINK("https://klasma.github.io/Logging_LINKOPING/kartor/A 71127-2021.png", "A 71127-2021")</f>
        <v/>
      </c>
      <c r="V286">
        <f>HYPERLINK("https://klasma.github.io/Logging_LINKOPING/klagomål/A 71127-2021.docx", "A 71127-2021")</f>
        <v/>
      </c>
      <c r="W286">
        <f>HYPERLINK("https://klasma.github.io/Logging_LINKOPING/klagomålsmail/A 71127-2021.docx", "A 71127-2021")</f>
        <v/>
      </c>
      <c r="X286">
        <f>HYPERLINK("https://klasma.github.io/Logging_LINKOPING/tillsyn/A 71127-2021.docx", "A 71127-2021")</f>
        <v/>
      </c>
      <c r="Y286">
        <f>HYPERLINK("https://klasma.github.io/Logging_LINKOPING/tillsynsmail/A 71127-2021.docx", "A 71127-2021")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45192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72192-2021.xlsx", "A 72192-2021")</f>
        <v/>
      </c>
      <c r="T287">
        <f>HYPERLINK("https://klasma.github.io/Logging_MOTALA/kartor/A 72192-2021.png", "A 72192-2021")</f>
        <v/>
      </c>
      <c r="V287">
        <f>HYPERLINK("https://klasma.github.io/Logging_MOTALA/klagomål/A 72192-2021.docx", "A 72192-2021")</f>
        <v/>
      </c>
      <c r="W287">
        <f>HYPERLINK("https://klasma.github.io/Logging_MOTALA/klagomålsmail/A 72192-2021.docx", "A 72192-2021")</f>
        <v/>
      </c>
      <c r="X287">
        <f>HYPERLINK("https://klasma.github.io/Logging_MOTALA/tillsyn/A 72192-2021.docx", "A 72192-2021")</f>
        <v/>
      </c>
      <c r="Y287">
        <f>HYPERLINK("https://klasma.github.io/Logging_MOTALA/tillsynsmail/A 72192-2021.docx", "A 72192-2021")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45192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2628-2022.xlsx", "A 2628-2022")</f>
        <v/>
      </c>
      <c r="T288">
        <f>HYPERLINK("https://klasma.github.io/Logging_LINKOPING/kartor/A 2628-2022.png", "A 2628-2022")</f>
        <v/>
      </c>
      <c r="V288">
        <f>HYPERLINK("https://klasma.github.io/Logging_LINKOPING/klagomål/A 2628-2022.docx", "A 2628-2022")</f>
        <v/>
      </c>
      <c r="W288">
        <f>HYPERLINK("https://klasma.github.io/Logging_LINKOPING/klagomålsmail/A 2628-2022.docx", "A 2628-2022")</f>
        <v/>
      </c>
      <c r="X288">
        <f>HYPERLINK("https://klasma.github.io/Logging_LINKOPING/tillsyn/A 2628-2022.docx", "A 2628-2022")</f>
        <v/>
      </c>
      <c r="Y288">
        <f>HYPERLINK("https://klasma.github.io/Logging_LINKOPING/tillsynsmail/A 2628-2022.docx", "A 2628-2022")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45192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5911-2022.xlsx", "A 5911-2022")</f>
        <v/>
      </c>
      <c r="T289">
        <f>HYPERLINK("https://klasma.github.io/Logging_LINKOPING/kartor/A 5911-2022.png", "A 5911-2022")</f>
        <v/>
      </c>
      <c r="V289">
        <f>HYPERLINK("https://klasma.github.io/Logging_LINKOPING/klagomål/A 5911-2022.docx", "A 5911-2022")</f>
        <v/>
      </c>
      <c r="W289">
        <f>HYPERLINK("https://klasma.github.io/Logging_LINKOPING/klagomålsmail/A 5911-2022.docx", "A 5911-2022")</f>
        <v/>
      </c>
      <c r="X289">
        <f>HYPERLINK("https://klasma.github.io/Logging_LINKOPING/tillsyn/A 5911-2022.docx", "A 5911-2022")</f>
        <v/>
      </c>
      <c r="Y289">
        <f>HYPERLINK("https://klasma.github.io/Logging_LINKOPING/tillsynsmail/A 5911-2022.docx", "A 5911-2022")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45192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6035-2022.xlsx", "A 6035-2022")</f>
        <v/>
      </c>
      <c r="T290">
        <f>HYPERLINK("https://klasma.github.io/Logging_FINSPANG/kartor/A 6035-2022.png", "A 6035-2022")</f>
        <v/>
      </c>
      <c r="V290">
        <f>HYPERLINK("https://klasma.github.io/Logging_FINSPANG/klagomål/A 6035-2022.docx", "A 6035-2022")</f>
        <v/>
      </c>
      <c r="W290">
        <f>HYPERLINK("https://klasma.github.io/Logging_FINSPANG/klagomålsmail/A 6035-2022.docx", "A 6035-2022")</f>
        <v/>
      </c>
      <c r="X290">
        <f>HYPERLINK("https://klasma.github.io/Logging_FINSPANG/tillsyn/A 6035-2022.docx", "A 6035-2022")</f>
        <v/>
      </c>
      <c r="Y290">
        <f>HYPERLINK("https://klasma.github.io/Logging_FINSPANG/tillsynsmail/A 6035-2022.docx", "A 6035-2022")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45192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8014-2022.xlsx", "A 8014-2022")</f>
        <v/>
      </c>
      <c r="T291">
        <f>HYPERLINK("https://klasma.github.io/Logging_ATVIDABERG/kartor/A 8014-2022.png", "A 8014-2022")</f>
        <v/>
      </c>
      <c r="V291">
        <f>HYPERLINK("https://klasma.github.io/Logging_ATVIDABERG/klagomål/A 8014-2022.docx", "A 8014-2022")</f>
        <v/>
      </c>
      <c r="W291">
        <f>HYPERLINK("https://klasma.github.io/Logging_ATVIDABERG/klagomålsmail/A 8014-2022.docx", "A 8014-2022")</f>
        <v/>
      </c>
      <c r="X291">
        <f>HYPERLINK("https://klasma.github.io/Logging_ATVIDABERG/tillsyn/A 8014-2022.docx", "A 8014-2022")</f>
        <v/>
      </c>
      <c r="Y291">
        <f>HYPERLINK("https://klasma.github.io/Logging_ATVIDABERG/tillsynsmail/A 8014-2022.docx", "A 8014-2022")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45192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9976-2022.xlsx", "A 9976-2022")</f>
        <v/>
      </c>
      <c r="T292">
        <f>HYPERLINK("https://klasma.github.io/Logging_ATVIDABERG/kartor/A 9976-2022.png", "A 9976-2022")</f>
        <v/>
      </c>
      <c r="V292">
        <f>HYPERLINK("https://klasma.github.io/Logging_ATVIDABERG/klagomål/A 9976-2022.docx", "A 9976-2022")</f>
        <v/>
      </c>
      <c r="W292">
        <f>HYPERLINK("https://klasma.github.io/Logging_ATVIDABERG/klagomålsmail/A 9976-2022.docx", "A 9976-2022")</f>
        <v/>
      </c>
      <c r="X292">
        <f>HYPERLINK("https://klasma.github.io/Logging_ATVIDABERG/tillsyn/A 9976-2022.docx", "A 9976-2022")</f>
        <v/>
      </c>
      <c r="Y292">
        <f>HYPERLINK("https://klasma.github.io/Logging_ATVIDABERG/tillsynsmail/A 9976-2022.docx", "A 9976-2022")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45192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12170-2022.xlsx", "A 12170-2022")</f>
        <v/>
      </c>
      <c r="T293">
        <f>HYPERLINK("https://klasma.github.io/Logging_KINDA/kartor/A 12170-2022.png", "A 12170-2022")</f>
        <v/>
      </c>
      <c r="V293">
        <f>HYPERLINK("https://klasma.github.io/Logging_KINDA/klagomål/A 12170-2022.docx", "A 12170-2022")</f>
        <v/>
      </c>
      <c r="W293">
        <f>HYPERLINK("https://klasma.github.io/Logging_KINDA/klagomålsmail/A 12170-2022.docx", "A 12170-2022")</f>
        <v/>
      </c>
      <c r="X293">
        <f>HYPERLINK("https://klasma.github.io/Logging_KINDA/tillsyn/A 12170-2022.docx", "A 12170-2022")</f>
        <v/>
      </c>
      <c r="Y293">
        <f>HYPERLINK("https://klasma.github.io/Logging_KINDA/tillsynsmail/A 12170-2022.docx", "A 12170-2022")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45192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12801-2022.xlsx", "A 12801-2022")</f>
        <v/>
      </c>
      <c r="T294">
        <f>HYPERLINK("https://klasma.github.io/Logging_KINDA/kartor/A 12801-2022.png", "A 12801-2022")</f>
        <v/>
      </c>
      <c r="V294">
        <f>HYPERLINK("https://klasma.github.io/Logging_KINDA/klagomål/A 12801-2022.docx", "A 12801-2022")</f>
        <v/>
      </c>
      <c r="W294">
        <f>HYPERLINK("https://klasma.github.io/Logging_KINDA/klagomålsmail/A 12801-2022.docx", "A 12801-2022")</f>
        <v/>
      </c>
      <c r="X294">
        <f>HYPERLINK("https://klasma.github.io/Logging_KINDA/tillsyn/A 12801-2022.docx", "A 12801-2022")</f>
        <v/>
      </c>
      <c r="Y294">
        <f>HYPERLINK("https://klasma.github.io/Logging_KINDA/tillsynsmail/A 12801-2022.docx", "A 12801-2022")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45192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15823-2022.xlsx", "A 15823-2022")</f>
        <v/>
      </c>
      <c r="T295">
        <f>HYPERLINK("https://klasma.github.io/Logging_ODESHOG/kartor/A 15823-2022.png", "A 15823-2022")</f>
        <v/>
      </c>
      <c r="V295">
        <f>HYPERLINK("https://klasma.github.io/Logging_ODESHOG/klagomål/A 15823-2022.docx", "A 15823-2022")</f>
        <v/>
      </c>
      <c r="W295">
        <f>HYPERLINK("https://klasma.github.io/Logging_ODESHOG/klagomålsmail/A 15823-2022.docx", "A 15823-2022")</f>
        <v/>
      </c>
      <c r="X295">
        <f>HYPERLINK("https://klasma.github.io/Logging_ODESHOG/tillsyn/A 15823-2022.docx", "A 15823-2022")</f>
        <v/>
      </c>
      <c r="Y295">
        <f>HYPERLINK("https://klasma.github.io/Logging_ODESHOG/tillsynsmail/A 15823-2022.docx", "A 15823-2022")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45192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17513-2022.xlsx", "A 17513-2022")</f>
        <v/>
      </c>
      <c r="T296">
        <f>HYPERLINK("https://klasma.github.io/Logging_LINKOPING/kartor/A 17513-2022.png", "A 17513-2022")</f>
        <v/>
      </c>
      <c r="V296">
        <f>HYPERLINK("https://klasma.github.io/Logging_LINKOPING/klagomål/A 17513-2022.docx", "A 17513-2022")</f>
        <v/>
      </c>
      <c r="W296">
        <f>HYPERLINK("https://klasma.github.io/Logging_LINKOPING/klagomålsmail/A 17513-2022.docx", "A 17513-2022")</f>
        <v/>
      </c>
      <c r="X296">
        <f>HYPERLINK("https://klasma.github.io/Logging_LINKOPING/tillsyn/A 17513-2022.docx", "A 17513-2022")</f>
        <v/>
      </c>
      <c r="Y296">
        <f>HYPERLINK("https://klasma.github.io/Logging_LINKOPING/tillsynsmail/A 17513-2022.docx", "A 17513-2022")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45192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17960-2022.xlsx", "A 17960-2022")</f>
        <v/>
      </c>
      <c r="T297">
        <f>HYPERLINK("https://klasma.github.io/Logging_FINSPANG/kartor/A 17960-2022.png", "A 17960-2022")</f>
        <v/>
      </c>
      <c r="V297">
        <f>HYPERLINK("https://klasma.github.io/Logging_FINSPANG/klagomål/A 17960-2022.docx", "A 17960-2022")</f>
        <v/>
      </c>
      <c r="W297">
        <f>HYPERLINK("https://klasma.github.io/Logging_FINSPANG/klagomålsmail/A 17960-2022.docx", "A 17960-2022")</f>
        <v/>
      </c>
      <c r="X297">
        <f>HYPERLINK("https://klasma.github.io/Logging_FINSPANG/tillsyn/A 17960-2022.docx", "A 17960-2022")</f>
        <v/>
      </c>
      <c r="Y297">
        <f>HYPERLINK("https://klasma.github.io/Logging_FINSPANG/tillsynsmail/A 17960-2022.docx", "A 17960-2022")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45192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18898-2022.xlsx", "A 18898-2022")</f>
        <v/>
      </c>
      <c r="T298">
        <f>HYPERLINK("https://klasma.github.io/Logging_KINDA/kartor/A 18898-2022.png", "A 18898-2022")</f>
        <v/>
      </c>
      <c r="V298">
        <f>HYPERLINK("https://klasma.github.io/Logging_KINDA/klagomål/A 18898-2022.docx", "A 18898-2022")</f>
        <v/>
      </c>
      <c r="W298">
        <f>HYPERLINK("https://klasma.github.io/Logging_KINDA/klagomålsmail/A 18898-2022.docx", "A 18898-2022")</f>
        <v/>
      </c>
      <c r="X298">
        <f>HYPERLINK("https://klasma.github.io/Logging_KINDA/tillsyn/A 18898-2022.docx", "A 18898-2022")</f>
        <v/>
      </c>
      <c r="Y298">
        <f>HYPERLINK("https://klasma.github.io/Logging_KINDA/tillsynsmail/A 18898-2022.docx", "A 18898-2022")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45192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21473-2022.xlsx", "A 21473-2022")</f>
        <v/>
      </c>
      <c r="T299">
        <f>HYPERLINK("https://klasma.github.io/Logging_KINDA/kartor/A 21473-2022.png", "A 21473-2022")</f>
        <v/>
      </c>
      <c r="V299">
        <f>HYPERLINK("https://klasma.github.io/Logging_KINDA/klagomål/A 21473-2022.docx", "A 21473-2022")</f>
        <v/>
      </c>
      <c r="W299">
        <f>HYPERLINK("https://klasma.github.io/Logging_KINDA/klagomålsmail/A 21473-2022.docx", "A 21473-2022")</f>
        <v/>
      </c>
      <c r="X299">
        <f>HYPERLINK("https://klasma.github.io/Logging_KINDA/tillsyn/A 21473-2022.docx", "A 21473-2022")</f>
        <v/>
      </c>
      <c r="Y299">
        <f>HYPERLINK("https://klasma.github.io/Logging_KINDA/tillsynsmail/A 21473-2022.docx", "A 21473-2022")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45192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27457-2022.xlsx", "A 27457-2022")</f>
        <v/>
      </c>
      <c r="T300">
        <f>HYPERLINK("https://klasma.github.io/Logging_ATVIDABERG/kartor/A 27457-2022.png", "A 27457-2022")</f>
        <v/>
      </c>
      <c r="V300">
        <f>HYPERLINK("https://klasma.github.io/Logging_ATVIDABERG/klagomål/A 27457-2022.docx", "A 27457-2022")</f>
        <v/>
      </c>
      <c r="W300">
        <f>HYPERLINK("https://klasma.github.io/Logging_ATVIDABERG/klagomålsmail/A 27457-2022.docx", "A 27457-2022")</f>
        <v/>
      </c>
      <c r="X300">
        <f>HYPERLINK("https://klasma.github.io/Logging_ATVIDABERG/tillsyn/A 27457-2022.docx", "A 27457-2022")</f>
        <v/>
      </c>
      <c r="Y300">
        <f>HYPERLINK("https://klasma.github.io/Logging_ATVIDABERG/tillsynsmail/A 27457-2022.docx", "A 27457-2022")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45192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27984-2022.xlsx", "A 27984-2022")</f>
        <v/>
      </c>
      <c r="T301">
        <f>HYPERLINK("https://klasma.github.io/Logging_LINKOPING/kartor/A 27984-2022.png", "A 27984-2022")</f>
        <v/>
      </c>
      <c r="V301">
        <f>HYPERLINK("https://klasma.github.io/Logging_LINKOPING/klagomål/A 27984-2022.docx", "A 27984-2022")</f>
        <v/>
      </c>
      <c r="W301">
        <f>HYPERLINK("https://klasma.github.io/Logging_LINKOPING/klagomålsmail/A 27984-2022.docx", "A 27984-2022")</f>
        <v/>
      </c>
      <c r="X301">
        <f>HYPERLINK("https://klasma.github.io/Logging_LINKOPING/tillsyn/A 27984-2022.docx", "A 27984-2022")</f>
        <v/>
      </c>
      <c r="Y301">
        <f>HYPERLINK("https://klasma.github.io/Logging_LINKOPING/tillsynsmail/A 27984-2022.docx", "A 27984-2022")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45192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28123-2022.xlsx", "A 28123-2022")</f>
        <v/>
      </c>
      <c r="T302">
        <f>HYPERLINK("https://klasma.github.io/Logging_LINKOPING/kartor/A 28123-2022.png", "A 28123-2022")</f>
        <v/>
      </c>
      <c r="V302">
        <f>HYPERLINK("https://klasma.github.io/Logging_LINKOPING/klagomål/A 28123-2022.docx", "A 28123-2022")</f>
        <v/>
      </c>
      <c r="W302">
        <f>HYPERLINK("https://klasma.github.io/Logging_LINKOPING/klagomålsmail/A 28123-2022.docx", "A 28123-2022")</f>
        <v/>
      </c>
      <c r="X302">
        <f>HYPERLINK("https://klasma.github.io/Logging_LINKOPING/tillsyn/A 28123-2022.docx", "A 28123-2022")</f>
        <v/>
      </c>
      <c r="Y302">
        <f>HYPERLINK("https://klasma.github.io/Logging_LINKOPING/tillsynsmail/A 28123-2022.docx", "A 28123-2022")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45192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29467-2022.xlsx", "A 29467-2022")</f>
        <v/>
      </c>
      <c r="T303">
        <f>HYPERLINK("https://klasma.github.io/Logging_FINSPANG/kartor/A 29467-2022.png", "A 29467-2022")</f>
        <v/>
      </c>
      <c r="V303">
        <f>HYPERLINK("https://klasma.github.io/Logging_FINSPANG/klagomål/A 29467-2022.docx", "A 29467-2022")</f>
        <v/>
      </c>
      <c r="W303">
        <f>HYPERLINK("https://klasma.github.io/Logging_FINSPANG/klagomålsmail/A 29467-2022.docx", "A 29467-2022")</f>
        <v/>
      </c>
      <c r="X303">
        <f>HYPERLINK("https://klasma.github.io/Logging_FINSPANG/tillsyn/A 29467-2022.docx", "A 29467-2022")</f>
        <v/>
      </c>
      <c r="Y303">
        <f>HYPERLINK("https://klasma.github.io/Logging_FINSPANG/tillsynsmail/A 29467-2022.docx", "A 29467-2022")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45192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29627-2022.xlsx", "A 29627-2022")</f>
        <v/>
      </c>
      <c r="T304">
        <f>HYPERLINK("https://klasma.github.io/Logging_KINDA/kartor/A 29627-2022.png", "A 29627-2022")</f>
        <v/>
      </c>
      <c r="V304">
        <f>HYPERLINK("https://klasma.github.io/Logging_KINDA/klagomål/A 29627-2022.docx", "A 29627-2022")</f>
        <v/>
      </c>
      <c r="W304">
        <f>HYPERLINK("https://klasma.github.io/Logging_KINDA/klagomålsmail/A 29627-2022.docx", "A 29627-2022")</f>
        <v/>
      </c>
      <c r="X304">
        <f>HYPERLINK("https://klasma.github.io/Logging_KINDA/tillsyn/A 29627-2022.docx", "A 29627-2022")</f>
        <v/>
      </c>
      <c r="Y304">
        <f>HYPERLINK("https://klasma.github.io/Logging_KINDA/tillsynsmail/A 29627-2022.docx", "A 29627-2022")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45192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31168-2022.xlsx", "A 31168-2022")</f>
        <v/>
      </c>
      <c r="T305">
        <f>HYPERLINK("https://klasma.github.io/Logging_VALDEMARSVIK/kartor/A 31168-2022.png", "A 31168-2022")</f>
        <v/>
      </c>
      <c r="V305">
        <f>HYPERLINK("https://klasma.github.io/Logging_VALDEMARSVIK/klagomål/A 31168-2022.docx", "A 31168-2022")</f>
        <v/>
      </c>
      <c r="W305">
        <f>HYPERLINK("https://klasma.github.io/Logging_VALDEMARSVIK/klagomålsmail/A 31168-2022.docx", "A 31168-2022")</f>
        <v/>
      </c>
      <c r="X305">
        <f>HYPERLINK("https://klasma.github.io/Logging_VALDEMARSVIK/tillsyn/A 31168-2022.docx", "A 31168-2022")</f>
        <v/>
      </c>
      <c r="Y305">
        <f>HYPERLINK("https://klasma.github.io/Logging_VALDEMARSVIK/tillsynsmail/A 31168-2022.docx", "A 31168-2022")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45192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31750-2022.xlsx", "A 31750-2022")</f>
        <v/>
      </c>
      <c r="T306">
        <f>HYPERLINK("https://klasma.github.io/Logging_FINSPANG/kartor/A 31750-2022.png", "A 31750-2022")</f>
        <v/>
      </c>
      <c r="V306">
        <f>HYPERLINK("https://klasma.github.io/Logging_FINSPANG/klagomål/A 31750-2022.docx", "A 31750-2022")</f>
        <v/>
      </c>
      <c r="W306">
        <f>HYPERLINK("https://klasma.github.io/Logging_FINSPANG/klagomålsmail/A 31750-2022.docx", "A 31750-2022")</f>
        <v/>
      </c>
      <c r="X306">
        <f>HYPERLINK("https://klasma.github.io/Logging_FINSPANG/tillsyn/A 31750-2022.docx", "A 31750-2022")</f>
        <v/>
      </c>
      <c r="Y306">
        <f>HYPERLINK("https://klasma.github.io/Logging_FINSPANG/tillsynsmail/A 31750-2022.docx", "A 31750-2022")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45192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33310-2022.xlsx", "A 33310-2022")</f>
        <v/>
      </c>
      <c r="T307">
        <f>HYPERLINK("https://klasma.github.io/Logging_ATVIDABERG/kartor/A 33310-2022.png", "A 33310-2022")</f>
        <v/>
      </c>
      <c r="U307">
        <f>HYPERLINK("https://klasma.github.io/Logging_ATVIDABERG/knärot/A 33310-2022.png", "A 33310-2022")</f>
        <v/>
      </c>
      <c r="V307">
        <f>HYPERLINK("https://klasma.github.io/Logging_ATVIDABERG/klagomål/A 33310-2022.docx", "A 33310-2022")</f>
        <v/>
      </c>
      <c r="W307">
        <f>HYPERLINK("https://klasma.github.io/Logging_ATVIDABERG/klagomålsmail/A 33310-2022.docx", "A 33310-2022")</f>
        <v/>
      </c>
      <c r="X307">
        <f>HYPERLINK("https://klasma.github.io/Logging_ATVIDABERG/tillsyn/A 33310-2022.docx", "A 33310-2022")</f>
        <v/>
      </c>
      <c r="Y307">
        <f>HYPERLINK("https://klasma.github.io/Logging_ATVIDABERG/tillsynsmail/A 33310-2022.docx", "A 33310-2022")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45192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34096-2022.xlsx", "A 34096-2022")</f>
        <v/>
      </c>
      <c r="T308">
        <f>HYPERLINK("https://klasma.github.io/Logging_FINSPANG/kartor/A 34096-2022.png", "A 34096-2022")</f>
        <v/>
      </c>
      <c r="V308">
        <f>HYPERLINK("https://klasma.github.io/Logging_FINSPANG/klagomål/A 34096-2022.docx", "A 34096-2022")</f>
        <v/>
      </c>
      <c r="W308">
        <f>HYPERLINK("https://klasma.github.io/Logging_FINSPANG/klagomålsmail/A 34096-2022.docx", "A 34096-2022")</f>
        <v/>
      </c>
      <c r="X308">
        <f>HYPERLINK("https://klasma.github.io/Logging_FINSPANG/tillsyn/A 34096-2022.docx", "A 34096-2022")</f>
        <v/>
      </c>
      <c r="Y308">
        <f>HYPERLINK("https://klasma.github.io/Logging_FINSPANG/tillsynsmail/A 34096-2022.docx", "A 34096-2022")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45192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35787-2022.xlsx", "A 35787-2022")</f>
        <v/>
      </c>
      <c r="T309">
        <f>HYPERLINK("https://klasma.github.io/Logging_KINDA/kartor/A 35787-2022.png", "A 35787-2022")</f>
        <v/>
      </c>
      <c r="U309">
        <f>HYPERLINK("https://klasma.github.io/Logging_KINDA/knärot/A 35787-2022.png", "A 35787-2022")</f>
        <v/>
      </c>
      <c r="V309">
        <f>HYPERLINK("https://klasma.github.io/Logging_KINDA/klagomål/A 35787-2022.docx", "A 35787-2022")</f>
        <v/>
      </c>
      <c r="W309">
        <f>HYPERLINK("https://klasma.github.io/Logging_KINDA/klagomålsmail/A 35787-2022.docx", "A 35787-2022")</f>
        <v/>
      </c>
      <c r="X309">
        <f>HYPERLINK("https://klasma.github.io/Logging_KINDA/tillsyn/A 35787-2022.docx", "A 35787-2022")</f>
        <v/>
      </c>
      <c r="Y309">
        <f>HYPERLINK("https://klasma.github.io/Logging_KINDA/tillsynsmail/A 35787-2022.docx", "A 35787-2022")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45192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42354-2022.xlsx", "A 42354-2022")</f>
        <v/>
      </c>
      <c r="T310">
        <f>HYPERLINK("https://klasma.github.io/Logging_YDRE/kartor/A 42354-2022.png", "A 42354-2022")</f>
        <v/>
      </c>
      <c r="V310">
        <f>HYPERLINK("https://klasma.github.io/Logging_YDRE/klagomål/A 42354-2022.docx", "A 42354-2022")</f>
        <v/>
      </c>
      <c r="W310">
        <f>HYPERLINK("https://klasma.github.io/Logging_YDRE/klagomålsmail/A 42354-2022.docx", "A 42354-2022")</f>
        <v/>
      </c>
      <c r="X310">
        <f>HYPERLINK("https://klasma.github.io/Logging_YDRE/tillsyn/A 42354-2022.docx", "A 42354-2022")</f>
        <v/>
      </c>
      <c r="Y310">
        <f>HYPERLINK("https://klasma.github.io/Logging_YDRE/tillsynsmail/A 42354-2022.docx", "A 42354-2022")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45192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43041-2022.xlsx", "A 43041-2022")</f>
        <v/>
      </c>
      <c r="T311">
        <f>HYPERLINK("https://klasma.github.io/Logging_LINKOPING/kartor/A 43041-2022.png", "A 43041-2022")</f>
        <v/>
      </c>
      <c r="V311">
        <f>HYPERLINK("https://klasma.github.io/Logging_LINKOPING/klagomål/A 43041-2022.docx", "A 43041-2022")</f>
        <v/>
      </c>
      <c r="W311">
        <f>HYPERLINK("https://klasma.github.io/Logging_LINKOPING/klagomålsmail/A 43041-2022.docx", "A 43041-2022")</f>
        <v/>
      </c>
      <c r="X311">
        <f>HYPERLINK("https://klasma.github.io/Logging_LINKOPING/tillsyn/A 43041-2022.docx", "A 43041-2022")</f>
        <v/>
      </c>
      <c r="Y311">
        <f>HYPERLINK("https://klasma.github.io/Logging_LINKOPING/tillsynsmail/A 43041-2022.docx", "A 43041-2022")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45192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45256-2022.xlsx", "A 45256-2022")</f>
        <v/>
      </c>
      <c r="T312">
        <f>HYPERLINK("https://klasma.github.io/Logging_FINSPANG/kartor/A 45256-2022.png", "A 45256-2022")</f>
        <v/>
      </c>
      <c r="V312">
        <f>HYPERLINK("https://klasma.github.io/Logging_FINSPANG/klagomål/A 45256-2022.docx", "A 45256-2022")</f>
        <v/>
      </c>
      <c r="W312">
        <f>HYPERLINK("https://klasma.github.io/Logging_FINSPANG/klagomålsmail/A 45256-2022.docx", "A 45256-2022")</f>
        <v/>
      </c>
      <c r="X312">
        <f>HYPERLINK("https://klasma.github.io/Logging_FINSPANG/tillsyn/A 45256-2022.docx", "A 45256-2022")</f>
        <v/>
      </c>
      <c r="Y312">
        <f>HYPERLINK("https://klasma.github.io/Logging_FINSPANG/tillsynsmail/A 45256-2022.docx", "A 45256-2022")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45192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46180-2022.xlsx", "A 46180-2022")</f>
        <v/>
      </c>
      <c r="T313">
        <f>HYPERLINK("https://klasma.github.io/Logging_MJOLBY/kartor/A 46180-2022.png", "A 46180-2022")</f>
        <v/>
      </c>
      <c r="V313">
        <f>HYPERLINK("https://klasma.github.io/Logging_MJOLBY/klagomål/A 46180-2022.docx", "A 46180-2022")</f>
        <v/>
      </c>
      <c r="W313">
        <f>HYPERLINK("https://klasma.github.io/Logging_MJOLBY/klagomålsmail/A 46180-2022.docx", "A 46180-2022")</f>
        <v/>
      </c>
      <c r="X313">
        <f>HYPERLINK("https://klasma.github.io/Logging_MJOLBY/tillsyn/A 46180-2022.docx", "A 46180-2022")</f>
        <v/>
      </c>
      <c r="Y313">
        <f>HYPERLINK("https://klasma.github.io/Logging_MJOLBY/tillsynsmail/A 46180-2022.docx", "A 46180-2022")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45192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46496-2022.xlsx", "A 46496-2022")</f>
        <v/>
      </c>
      <c r="T314">
        <f>HYPERLINK("https://klasma.github.io/Logging_LINKOPING/kartor/A 46496-2022.png", "A 46496-2022")</f>
        <v/>
      </c>
      <c r="V314">
        <f>HYPERLINK("https://klasma.github.io/Logging_LINKOPING/klagomål/A 46496-2022.docx", "A 46496-2022")</f>
        <v/>
      </c>
      <c r="W314">
        <f>HYPERLINK("https://klasma.github.io/Logging_LINKOPING/klagomålsmail/A 46496-2022.docx", "A 46496-2022")</f>
        <v/>
      </c>
      <c r="X314">
        <f>HYPERLINK("https://klasma.github.io/Logging_LINKOPING/tillsyn/A 46496-2022.docx", "A 46496-2022")</f>
        <v/>
      </c>
      <c r="Y314">
        <f>HYPERLINK("https://klasma.github.io/Logging_LINKOPING/tillsynsmail/A 46496-2022.docx", "A 46496-2022")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45192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50403-2022.xlsx", "A 50403-2022")</f>
        <v/>
      </c>
      <c r="T315">
        <f>HYPERLINK("https://klasma.github.io/Logging_MJOLBY/kartor/A 50403-2022.png", "A 50403-2022")</f>
        <v/>
      </c>
      <c r="V315">
        <f>HYPERLINK("https://klasma.github.io/Logging_MJOLBY/klagomål/A 50403-2022.docx", "A 50403-2022")</f>
        <v/>
      </c>
      <c r="W315">
        <f>HYPERLINK("https://klasma.github.io/Logging_MJOLBY/klagomålsmail/A 50403-2022.docx", "A 50403-2022")</f>
        <v/>
      </c>
      <c r="X315">
        <f>HYPERLINK("https://klasma.github.io/Logging_MJOLBY/tillsyn/A 50403-2022.docx", "A 50403-2022")</f>
        <v/>
      </c>
      <c r="Y315">
        <f>HYPERLINK("https://klasma.github.io/Logging_MJOLBY/tillsynsmail/A 50403-2022.docx", "A 50403-2022")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45192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50514-2022.xlsx", "A 50514-2022")</f>
        <v/>
      </c>
      <c r="T316">
        <f>HYPERLINK("https://klasma.github.io/Logging_KINDA/kartor/A 50514-2022.png", "A 50514-2022")</f>
        <v/>
      </c>
      <c r="V316">
        <f>HYPERLINK("https://klasma.github.io/Logging_KINDA/klagomål/A 50514-2022.docx", "A 50514-2022")</f>
        <v/>
      </c>
      <c r="W316">
        <f>HYPERLINK("https://klasma.github.io/Logging_KINDA/klagomålsmail/A 50514-2022.docx", "A 50514-2022")</f>
        <v/>
      </c>
      <c r="X316">
        <f>HYPERLINK("https://klasma.github.io/Logging_KINDA/tillsyn/A 50514-2022.docx", "A 50514-2022")</f>
        <v/>
      </c>
      <c r="Y316">
        <f>HYPERLINK("https://klasma.github.io/Logging_KINDA/tillsynsmail/A 50514-2022.docx", "A 50514-2022")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45192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51149-2022.xlsx", "A 51149-2022")</f>
        <v/>
      </c>
      <c r="T317">
        <f>HYPERLINK("https://klasma.github.io/Logging_BOXHOLM/kartor/A 51149-2022.png", "A 51149-2022")</f>
        <v/>
      </c>
      <c r="V317">
        <f>HYPERLINK("https://klasma.github.io/Logging_BOXHOLM/klagomål/A 51149-2022.docx", "A 51149-2022")</f>
        <v/>
      </c>
      <c r="W317">
        <f>HYPERLINK("https://klasma.github.io/Logging_BOXHOLM/klagomålsmail/A 51149-2022.docx", "A 51149-2022")</f>
        <v/>
      </c>
      <c r="X317">
        <f>HYPERLINK("https://klasma.github.io/Logging_BOXHOLM/tillsyn/A 51149-2022.docx", "A 51149-2022")</f>
        <v/>
      </c>
      <c r="Y317">
        <f>HYPERLINK("https://klasma.github.io/Logging_BOXHOLM/tillsynsmail/A 51149-2022.docx", "A 51149-2022")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45192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52667-2022.xlsx", "A 52667-2022")</f>
        <v/>
      </c>
      <c r="T318">
        <f>HYPERLINK("https://klasma.github.io/Logging_YDRE/kartor/A 52667-2022.png", "A 52667-2022")</f>
        <v/>
      </c>
      <c r="V318">
        <f>HYPERLINK("https://klasma.github.io/Logging_YDRE/klagomål/A 52667-2022.docx", "A 52667-2022")</f>
        <v/>
      </c>
      <c r="W318">
        <f>HYPERLINK("https://klasma.github.io/Logging_YDRE/klagomålsmail/A 52667-2022.docx", "A 52667-2022")</f>
        <v/>
      </c>
      <c r="X318">
        <f>HYPERLINK("https://klasma.github.io/Logging_YDRE/tillsyn/A 52667-2022.docx", "A 52667-2022")</f>
        <v/>
      </c>
      <c r="Y318">
        <f>HYPERLINK("https://klasma.github.io/Logging_YDRE/tillsynsmail/A 52667-2022.docx", "A 52667-2022")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45192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53186-2022.xlsx", "A 53186-2022")</f>
        <v/>
      </c>
      <c r="T319">
        <f>HYPERLINK("https://klasma.github.io/Logging_ATVIDABERG/kartor/A 53186-2022.png", "A 53186-2022")</f>
        <v/>
      </c>
      <c r="V319">
        <f>HYPERLINK("https://klasma.github.io/Logging_ATVIDABERG/klagomål/A 53186-2022.docx", "A 53186-2022")</f>
        <v/>
      </c>
      <c r="W319">
        <f>HYPERLINK("https://klasma.github.io/Logging_ATVIDABERG/klagomålsmail/A 53186-2022.docx", "A 53186-2022")</f>
        <v/>
      </c>
      <c r="X319">
        <f>HYPERLINK("https://klasma.github.io/Logging_ATVIDABERG/tillsyn/A 53186-2022.docx", "A 53186-2022")</f>
        <v/>
      </c>
      <c r="Y319">
        <f>HYPERLINK("https://klasma.github.io/Logging_ATVIDABERG/tillsynsmail/A 53186-2022.docx", "A 53186-2022")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45192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54954-2022.xlsx", "A 54954-2022")</f>
        <v/>
      </c>
      <c r="T320">
        <f>HYPERLINK("https://klasma.github.io/Logging_FINSPANG/kartor/A 54954-2022.png", "A 54954-2022")</f>
        <v/>
      </c>
      <c r="V320">
        <f>HYPERLINK("https://klasma.github.io/Logging_FINSPANG/klagomål/A 54954-2022.docx", "A 54954-2022")</f>
        <v/>
      </c>
      <c r="W320">
        <f>HYPERLINK("https://klasma.github.io/Logging_FINSPANG/klagomålsmail/A 54954-2022.docx", "A 54954-2022")</f>
        <v/>
      </c>
      <c r="X320">
        <f>HYPERLINK("https://klasma.github.io/Logging_FINSPANG/tillsyn/A 54954-2022.docx", "A 54954-2022")</f>
        <v/>
      </c>
      <c r="Y320">
        <f>HYPERLINK("https://klasma.github.io/Logging_FINSPANG/tillsynsmail/A 54954-2022.docx", "A 54954-2022")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45192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54788-2022.xlsx", "A 54788-2022")</f>
        <v/>
      </c>
      <c r="T321">
        <f>HYPERLINK("https://klasma.github.io/Logging_VALDEMARSVIK/kartor/A 54788-2022.png", "A 54788-2022")</f>
        <v/>
      </c>
      <c r="V321">
        <f>HYPERLINK("https://klasma.github.io/Logging_VALDEMARSVIK/klagomål/A 54788-2022.docx", "A 54788-2022")</f>
        <v/>
      </c>
      <c r="W321">
        <f>HYPERLINK("https://klasma.github.io/Logging_VALDEMARSVIK/klagomålsmail/A 54788-2022.docx", "A 54788-2022")</f>
        <v/>
      </c>
      <c r="X321">
        <f>HYPERLINK("https://klasma.github.io/Logging_VALDEMARSVIK/tillsyn/A 54788-2022.docx", "A 54788-2022")</f>
        <v/>
      </c>
      <c r="Y321">
        <f>HYPERLINK("https://klasma.github.io/Logging_VALDEMARSVIK/tillsynsmail/A 54788-2022.docx", "A 54788-2022")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45192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54785-2022.xlsx", "A 54785-2022")</f>
        <v/>
      </c>
      <c r="T322">
        <f>HYPERLINK("https://klasma.github.io/Logging_VALDEMARSVIK/kartor/A 54785-2022.png", "A 54785-2022")</f>
        <v/>
      </c>
      <c r="V322">
        <f>HYPERLINK("https://klasma.github.io/Logging_VALDEMARSVIK/klagomål/A 54785-2022.docx", "A 54785-2022")</f>
        <v/>
      </c>
      <c r="W322">
        <f>HYPERLINK("https://klasma.github.io/Logging_VALDEMARSVIK/klagomålsmail/A 54785-2022.docx", "A 54785-2022")</f>
        <v/>
      </c>
      <c r="X322">
        <f>HYPERLINK("https://klasma.github.io/Logging_VALDEMARSVIK/tillsyn/A 54785-2022.docx", "A 54785-2022")</f>
        <v/>
      </c>
      <c r="Y322">
        <f>HYPERLINK("https://klasma.github.io/Logging_VALDEMARSVIK/tillsynsmail/A 54785-2022.docx", "A 54785-2022")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45192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56128-2022.xlsx", "A 56128-2022")</f>
        <v/>
      </c>
      <c r="T323">
        <f>HYPERLINK("https://klasma.github.io/Logging_LINKOPING/kartor/A 56128-2022.png", "A 56128-2022")</f>
        <v/>
      </c>
      <c r="V323">
        <f>HYPERLINK("https://klasma.github.io/Logging_LINKOPING/klagomål/A 56128-2022.docx", "A 56128-2022")</f>
        <v/>
      </c>
      <c r="W323">
        <f>HYPERLINK("https://klasma.github.io/Logging_LINKOPING/klagomålsmail/A 56128-2022.docx", "A 56128-2022")</f>
        <v/>
      </c>
      <c r="X323">
        <f>HYPERLINK("https://klasma.github.io/Logging_LINKOPING/tillsyn/A 56128-2022.docx", "A 56128-2022")</f>
        <v/>
      </c>
      <c r="Y323">
        <f>HYPERLINK("https://klasma.github.io/Logging_LINKOPING/tillsynsmail/A 56128-2022.docx", "A 56128-2022")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45192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59418-2022.xlsx", "A 59418-2022")</f>
        <v/>
      </c>
      <c r="T324">
        <f>HYPERLINK("https://klasma.github.io/Logging_BOXHOLM/kartor/A 59418-2022.png", "A 59418-2022")</f>
        <v/>
      </c>
      <c r="V324">
        <f>HYPERLINK("https://klasma.github.io/Logging_BOXHOLM/klagomål/A 59418-2022.docx", "A 59418-2022")</f>
        <v/>
      </c>
      <c r="W324">
        <f>HYPERLINK("https://klasma.github.io/Logging_BOXHOLM/klagomålsmail/A 59418-2022.docx", "A 59418-2022")</f>
        <v/>
      </c>
      <c r="X324">
        <f>HYPERLINK("https://klasma.github.io/Logging_BOXHOLM/tillsyn/A 59418-2022.docx", "A 59418-2022")</f>
        <v/>
      </c>
      <c r="Y324">
        <f>HYPERLINK("https://klasma.github.io/Logging_BOXHOLM/tillsynsmail/A 59418-2022.docx", "A 59418-2022")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45192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61104-2022.xlsx", "A 61104-2022")</f>
        <v/>
      </c>
      <c r="T325">
        <f>HYPERLINK("https://klasma.github.io/Logging_FINSPANG/kartor/A 61104-2022.png", "A 61104-2022")</f>
        <v/>
      </c>
      <c r="V325">
        <f>HYPERLINK("https://klasma.github.io/Logging_FINSPANG/klagomål/A 61104-2022.docx", "A 61104-2022")</f>
        <v/>
      </c>
      <c r="W325">
        <f>HYPERLINK("https://klasma.github.io/Logging_FINSPANG/klagomålsmail/A 61104-2022.docx", "A 61104-2022")</f>
        <v/>
      </c>
      <c r="X325">
        <f>HYPERLINK("https://klasma.github.io/Logging_FINSPANG/tillsyn/A 61104-2022.docx", "A 61104-2022")</f>
        <v/>
      </c>
      <c r="Y325">
        <f>HYPERLINK("https://klasma.github.io/Logging_FINSPANG/tillsynsmail/A 61104-2022.docx", "A 61104-2022")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45192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663-2023.xlsx", "A 663-2023")</f>
        <v/>
      </c>
      <c r="T326">
        <f>HYPERLINK("https://klasma.github.io/Logging_FINSPANG/kartor/A 663-2023.png", "A 663-2023")</f>
        <v/>
      </c>
      <c r="V326">
        <f>HYPERLINK("https://klasma.github.io/Logging_FINSPANG/klagomål/A 663-2023.docx", "A 663-2023")</f>
        <v/>
      </c>
      <c r="W326">
        <f>HYPERLINK("https://klasma.github.io/Logging_FINSPANG/klagomålsmail/A 663-2023.docx", "A 663-2023")</f>
        <v/>
      </c>
      <c r="X326">
        <f>HYPERLINK("https://klasma.github.io/Logging_FINSPANG/tillsyn/A 663-2023.docx", "A 663-2023")</f>
        <v/>
      </c>
      <c r="Y326">
        <f>HYPERLINK("https://klasma.github.io/Logging_FINSPANG/tillsynsmail/A 663-2023.docx", "A 663-2023")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45192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1213-2023.xlsx", "A 1213-2023")</f>
        <v/>
      </c>
      <c r="T327">
        <f>HYPERLINK("https://klasma.github.io/Logging_LINKOPING/kartor/A 1213-2023.png", "A 1213-2023")</f>
        <v/>
      </c>
      <c r="V327">
        <f>HYPERLINK("https://klasma.github.io/Logging_LINKOPING/klagomål/A 1213-2023.docx", "A 1213-2023")</f>
        <v/>
      </c>
      <c r="W327">
        <f>HYPERLINK("https://klasma.github.io/Logging_LINKOPING/klagomålsmail/A 1213-2023.docx", "A 1213-2023")</f>
        <v/>
      </c>
      <c r="X327">
        <f>HYPERLINK("https://klasma.github.io/Logging_LINKOPING/tillsyn/A 1213-2023.docx", "A 1213-2023")</f>
        <v/>
      </c>
      <c r="Y327">
        <f>HYPERLINK("https://klasma.github.io/Logging_LINKOPING/tillsynsmail/A 1213-2023.docx", "A 1213-2023")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45192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1716-2023.xlsx", "A 1716-2023")</f>
        <v/>
      </c>
      <c r="T328">
        <f>HYPERLINK("https://klasma.github.io/Logging_LINKOPING/kartor/A 1716-2023.png", "A 1716-2023")</f>
        <v/>
      </c>
      <c r="V328">
        <f>HYPERLINK("https://klasma.github.io/Logging_LINKOPING/klagomål/A 1716-2023.docx", "A 1716-2023")</f>
        <v/>
      </c>
      <c r="W328">
        <f>HYPERLINK("https://klasma.github.io/Logging_LINKOPING/klagomålsmail/A 1716-2023.docx", "A 1716-2023")</f>
        <v/>
      </c>
      <c r="X328">
        <f>HYPERLINK("https://klasma.github.io/Logging_LINKOPING/tillsyn/A 1716-2023.docx", "A 1716-2023")</f>
        <v/>
      </c>
      <c r="Y328">
        <f>HYPERLINK("https://klasma.github.io/Logging_LINKOPING/tillsynsmail/A 1716-2023.docx", "A 1716-2023")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45192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3096-2023.xlsx", "A 3096-2023")</f>
        <v/>
      </c>
      <c r="T329">
        <f>HYPERLINK("https://klasma.github.io/Logging_FINSPANG/kartor/A 3096-2023.png", "A 3096-2023")</f>
        <v/>
      </c>
      <c r="V329">
        <f>HYPERLINK("https://klasma.github.io/Logging_FINSPANG/klagomål/A 3096-2023.docx", "A 3096-2023")</f>
        <v/>
      </c>
      <c r="W329">
        <f>HYPERLINK("https://klasma.github.io/Logging_FINSPANG/klagomålsmail/A 3096-2023.docx", "A 3096-2023")</f>
        <v/>
      </c>
      <c r="X329">
        <f>HYPERLINK("https://klasma.github.io/Logging_FINSPANG/tillsyn/A 3096-2023.docx", "A 3096-2023")</f>
        <v/>
      </c>
      <c r="Y329">
        <f>HYPERLINK("https://klasma.github.io/Logging_FINSPANG/tillsynsmail/A 3096-2023.docx", "A 3096-2023")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45192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3088-2023.xlsx", "A 3088-2023")</f>
        <v/>
      </c>
      <c r="T330">
        <f>HYPERLINK("https://klasma.github.io/Logging_FINSPANG/kartor/A 3088-2023.png", "A 3088-2023")</f>
        <v/>
      </c>
      <c r="V330">
        <f>HYPERLINK("https://klasma.github.io/Logging_FINSPANG/klagomål/A 3088-2023.docx", "A 3088-2023")</f>
        <v/>
      </c>
      <c r="W330">
        <f>HYPERLINK("https://klasma.github.io/Logging_FINSPANG/klagomålsmail/A 3088-2023.docx", "A 3088-2023")</f>
        <v/>
      </c>
      <c r="X330">
        <f>HYPERLINK("https://klasma.github.io/Logging_FINSPANG/tillsyn/A 3088-2023.docx", "A 3088-2023")</f>
        <v/>
      </c>
      <c r="Y330">
        <f>HYPERLINK("https://klasma.github.io/Logging_FINSPANG/tillsynsmail/A 3088-2023.docx", "A 3088-2023")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45192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3397-2023.xlsx", "A 3397-2023")</f>
        <v/>
      </c>
      <c r="T331">
        <f>HYPERLINK("https://klasma.github.io/Logging_LINKOPING/kartor/A 3397-2023.png", "A 3397-2023")</f>
        <v/>
      </c>
      <c r="V331">
        <f>HYPERLINK("https://klasma.github.io/Logging_LINKOPING/klagomål/A 3397-2023.docx", "A 3397-2023")</f>
        <v/>
      </c>
      <c r="W331">
        <f>HYPERLINK("https://klasma.github.io/Logging_LINKOPING/klagomålsmail/A 3397-2023.docx", "A 3397-2023")</f>
        <v/>
      </c>
      <c r="X331">
        <f>HYPERLINK("https://klasma.github.io/Logging_LINKOPING/tillsyn/A 3397-2023.docx", "A 3397-2023")</f>
        <v/>
      </c>
      <c r="Y331">
        <f>HYPERLINK("https://klasma.github.io/Logging_LINKOPING/tillsynsmail/A 3397-2023.docx", "A 3397-2023")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45192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4051-2023.xlsx", "A 4051-2023")</f>
        <v/>
      </c>
      <c r="T332">
        <f>HYPERLINK("https://klasma.github.io/Logging_VALDEMARSVIK/kartor/A 4051-2023.png", "A 4051-2023")</f>
        <v/>
      </c>
      <c r="V332">
        <f>HYPERLINK("https://klasma.github.io/Logging_VALDEMARSVIK/klagomål/A 4051-2023.docx", "A 4051-2023")</f>
        <v/>
      </c>
      <c r="W332">
        <f>HYPERLINK("https://klasma.github.io/Logging_VALDEMARSVIK/klagomålsmail/A 4051-2023.docx", "A 4051-2023")</f>
        <v/>
      </c>
      <c r="X332">
        <f>HYPERLINK("https://klasma.github.io/Logging_VALDEMARSVIK/tillsyn/A 4051-2023.docx", "A 4051-2023")</f>
        <v/>
      </c>
      <c r="Y332">
        <f>HYPERLINK("https://klasma.github.io/Logging_VALDEMARSVIK/tillsynsmail/A 4051-2023.docx", "A 4051-2023")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45192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4764-2023.xlsx", "A 4764-2023")</f>
        <v/>
      </c>
      <c r="T333">
        <f>HYPERLINK("https://klasma.github.io/Logging_LINKOPING/kartor/A 4764-2023.png", "A 4764-2023")</f>
        <v/>
      </c>
      <c r="V333">
        <f>HYPERLINK("https://klasma.github.io/Logging_LINKOPING/klagomål/A 4764-2023.docx", "A 4764-2023")</f>
        <v/>
      </c>
      <c r="W333">
        <f>HYPERLINK("https://klasma.github.io/Logging_LINKOPING/klagomålsmail/A 4764-2023.docx", "A 4764-2023")</f>
        <v/>
      </c>
      <c r="X333">
        <f>HYPERLINK("https://klasma.github.io/Logging_LINKOPING/tillsyn/A 4764-2023.docx", "A 4764-2023")</f>
        <v/>
      </c>
      <c r="Y333">
        <f>HYPERLINK("https://klasma.github.io/Logging_LINKOPING/tillsynsmail/A 4764-2023.docx", "A 4764-2023")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45192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5668-2023.xlsx", "A 5668-2023")</f>
        <v/>
      </c>
      <c r="T334">
        <f>HYPERLINK("https://klasma.github.io/Logging_KINDA/kartor/A 5668-2023.png", "A 5668-2023")</f>
        <v/>
      </c>
      <c r="U334">
        <f>HYPERLINK("https://klasma.github.io/Logging_KINDA/knärot/A 5668-2023.png", "A 5668-2023")</f>
        <v/>
      </c>
      <c r="V334">
        <f>HYPERLINK("https://klasma.github.io/Logging_KINDA/klagomål/A 5668-2023.docx", "A 5668-2023")</f>
        <v/>
      </c>
      <c r="W334">
        <f>HYPERLINK("https://klasma.github.io/Logging_KINDA/klagomålsmail/A 5668-2023.docx", "A 5668-2023")</f>
        <v/>
      </c>
      <c r="X334">
        <f>HYPERLINK("https://klasma.github.io/Logging_KINDA/tillsyn/A 5668-2023.docx", "A 5668-2023")</f>
        <v/>
      </c>
      <c r="Y334">
        <f>HYPERLINK("https://klasma.github.io/Logging_KINDA/tillsynsmail/A 5668-2023.docx", "A 5668-2023")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45192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6707-2023.xlsx", "A 6707-2023")</f>
        <v/>
      </c>
      <c r="T335">
        <f>HYPERLINK("https://klasma.github.io/Logging_FINSPANG/kartor/A 6707-2023.png", "A 6707-2023")</f>
        <v/>
      </c>
      <c r="V335">
        <f>HYPERLINK("https://klasma.github.io/Logging_FINSPANG/klagomål/A 6707-2023.docx", "A 6707-2023")</f>
        <v/>
      </c>
      <c r="W335">
        <f>HYPERLINK("https://klasma.github.io/Logging_FINSPANG/klagomålsmail/A 6707-2023.docx", "A 6707-2023")</f>
        <v/>
      </c>
      <c r="X335">
        <f>HYPERLINK("https://klasma.github.io/Logging_FINSPANG/tillsyn/A 6707-2023.docx", "A 6707-2023")</f>
        <v/>
      </c>
      <c r="Y335">
        <f>HYPERLINK("https://klasma.github.io/Logging_FINSPANG/tillsynsmail/A 6707-2023.docx", "A 6707-2023")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45192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8719-2023.xlsx", "A 8719-2023")</f>
        <v/>
      </c>
      <c r="T336">
        <f>HYPERLINK("https://klasma.github.io/Logging_LINKOPING/kartor/A 8719-2023.png", "A 8719-2023")</f>
        <v/>
      </c>
      <c r="V336">
        <f>HYPERLINK("https://klasma.github.io/Logging_LINKOPING/klagomål/A 8719-2023.docx", "A 8719-2023")</f>
        <v/>
      </c>
      <c r="W336">
        <f>HYPERLINK("https://klasma.github.io/Logging_LINKOPING/klagomålsmail/A 8719-2023.docx", "A 8719-2023")</f>
        <v/>
      </c>
      <c r="X336">
        <f>HYPERLINK("https://klasma.github.io/Logging_LINKOPING/tillsyn/A 8719-2023.docx", "A 8719-2023")</f>
        <v/>
      </c>
      <c r="Y336">
        <f>HYPERLINK("https://klasma.github.io/Logging_LINKOPING/tillsynsmail/A 8719-2023.docx", "A 8719-2023")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45192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8236-2023.xlsx", "A 8236-2023")</f>
        <v/>
      </c>
      <c r="T337">
        <f>HYPERLINK("https://klasma.github.io/Logging_KINDA/kartor/A 8236-2023.png", "A 8236-2023")</f>
        <v/>
      </c>
      <c r="U337">
        <f>HYPERLINK("https://klasma.github.io/Logging_KINDA/knärot/A 8236-2023.png", "A 8236-2023")</f>
        <v/>
      </c>
      <c r="V337">
        <f>HYPERLINK("https://klasma.github.io/Logging_KINDA/klagomål/A 8236-2023.docx", "A 8236-2023")</f>
        <v/>
      </c>
      <c r="W337">
        <f>HYPERLINK("https://klasma.github.io/Logging_KINDA/klagomålsmail/A 8236-2023.docx", "A 8236-2023")</f>
        <v/>
      </c>
      <c r="X337">
        <f>HYPERLINK("https://klasma.github.io/Logging_KINDA/tillsyn/A 8236-2023.docx", "A 8236-2023")</f>
        <v/>
      </c>
      <c r="Y337">
        <f>HYPERLINK("https://klasma.github.io/Logging_KINDA/tillsynsmail/A 8236-2023.docx", "A 8236-2023")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45192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8255-2023.xlsx", "A 8255-2023")</f>
        <v/>
      </c>
      <c r="T338">
        <f>HYPERLINK("https://klasma.github.io/Logging_ODESHOG/kartor/A 8255-2023.png", "A 8255-2023")</f>
        <v/>
      </c>
      <c r="V338">
        <f>HYPERLINK("https://klasma.github.io/Logging_ODESHOG/klagomål/A 8255-2023.docx", "A 8255-2023")</f>
        <v/>
      </c>
      <c r="W338">
        <f>HYPERLINK("https://klasma.github.io/Logging_ODESHOG/klagomålsmail/A 8255-2023.docx", "A 8255-2023")</f>
        <v/>
      </c>
      <c r="X338">
        <f>HYPERLINK("https://klasma.github.io/Logging_ODESHOG/tillsyn/A 8255-2023.docx", "A 8255-2023")</f>
        <v/>
      </c>
      <c r="Y338">
        <f>HYPERLINK("https://klasma.github.io/Logging_ODESHOG/tillsynsmail/A 8255-2023.docx", "A 8255-2023")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45192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11012-2023.xlsx", "A 11012-2023")</f>
        <v/>
      </c>
      <c r="T339">
        <f>HYPERLINK("https://klasma.github.io/Logging_VALDEMARSVIK/kartor/A 11012-2023.png", "A 11012-2023")</f>
        <v/>
      </c>
      <c r="U339">
        <f>HYPERLINK("https://klasma.github.io/Logging_VALDEMARSVIK/knärot/A 11012-2023.png", "A 11012-2023")</f>
        <v/>
      </c>
      <c r="V339">
        <f>HYPERLINK("https://klasma.github.io/Logging_VALDEMARSVIK/klagomål/A 11012-2023.docx", "A 11012-2023")</f>
        <v/>
      </c>
      <c r="W339">
        <f>HYPERLINK("https://klasma.github.io/Logging_VALDEMARSVIK/klagomålsmail/A 11012-2023.docx", "A 11012-2023")</f>
        <v/>
      </c>
      <c r="X339">
        <f>HYPERLINK("https://klasma.github.io/Logging_VALDEMARSVIK/tillsyn/A 11012-2023.docx", "A 11012-2023")</f>
        <v/>
      </c>
      <c r="Y339">
        <f>HYPERLINK("https://klasma.github.io/Logging_VALDEMARSVIK/tillsynsmail/A 11012-2023.docx", "A 11012-2023")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45192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11749-2023.xlsx", "A 11749-2023")</f>
        <v/>
      </c>
      <c r="T340">
        <f>HYPERLINK("https://klasma.github.io/Logging_VALDEMARSVIK/kartor/A 11749-2023.png", "A 11749-2023")</f>
        <v/>
      </c>
      <c r="V340">
        <f>HYPERLINK("https://klasma.github.io/Logging_VALDEMARSVIK/klagomål/A 11749-2023.docx", "A 11749-2023")</f>
        <v/>
      </c>
      <c r="W340">
        <f>HYPERLINK("https://klasma.github.io/Logging_VALDEMARSVIK/klagomålsmail/A 11749-2023.docx", "A 11749-2023")</f>
        <v/>
      </c>
      <c r="X340">
        <f>HYPERLINK("https://klasma.github.io/Logging_VALDEMARSVIK/tillsyn/A 11749-2023.docx", "A 11749-2023")</f>
        <v/>
      </c>
      <c r="Y340">
        <f>HYPERLINK("https://klasma.github.io/Logging_VALDEMARSVIK/tillsynsmail/A 11749-2023.docx", "A 11749-2023")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45192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16169-2023.xlsx", "A 16169-2023")</f>
        <v/>
      </c>
      <c r="T341">
        <f>HYPERLINK("https://klasma.github.io/Logging_ODESHOG/kartor/A 16169-2023.png", "A 16169-2023")</f>
        <v/>
      </c>
      <c r="V341">
        <f>HYPERLINK("https://klasma.github.io/Logging_ODESHOG/klagomål/A 16169-2023.docx", "A 16169-2023")</f>
        <v/>
      </c>
      <c r="W341">
        <f>HYPERLINK("https://klasma.github.io/Logging_ODESHOG/klagomålsmail/A 16169-2023.docx", "A 16169-2023")</f>
        <v/>
      </c>
      <c r="X341">
        <f>HYPERLINK("https://klasma.github.io/Logging_ODESHOG/tillsyn/A 16169-2023.docx", "A 16169-2023")</f>
        <v/>
      </c>
      <c r="Y341">
        <f>HYPERLINK("https://klasma.github.io/Logging_ODESHOG/tillsynsmail/A 16169-2023.docx", "A 16169-2023")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45192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19360-2023.xlsx", "A 19360-2023")</f>
        <v/>
      </c>
      <c r="T342">
        <f>HYPERLINK("https://klasma.github.io/Logging_KINDA/kartor/A 19360-2023.png", "A 19360-2023")</f>
        <v/>
      </c>
      <c r="V342">
        <f>HYPERLINK("https://klasma.github.io/Logging_KINDA/klagomål/A 19360-2023.docx", "A 19360-2023")</f>
        <v/>
      </c>
      <c r="W342">
        <f>HYPERLINK("https://klasma.github.io/Logging_KINDA/klagomålsmail/A 19360-2023.docx", "A 19360-2023")</f>
        <v/>
      </c>
      <c r="X342">
        <f>HYPERLINK("https://klasma.github.io/Logging_KINDA/tillsyn/A 19360-2023.docx", "A 19360-2023")</f>
        <v/>
      </c>
      <c r="Y342">
        <f>HYPERLINK("https://klasma.github.io/Logging_KINDA/tillsynsmail/A 19360-2023.docx", "A 19360-2023")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45192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19404-2023.xlsx", "A 19404-2023")</f>
        <v/>
      </c>
      <c r="T343">
        <f>HYPERLINK("https://klasma.github.io/Logging_FINSPANG/kartor/A 19404-2023.png", "A 19404-2023")</f>
        <v/>
      </c>
      <c r="V343">
        <f>HYPERLINK("https://klasma.github.io/Logging_FINSPANG/klagomål/A 19404-2023.docx", "A 19404-2023")</f>
        <v/>
      </c>
      <c r="W343">
        <f>HYPERLINK("https://klasma.github.io/Logging_FINSPANG/klagomålsmail/A 19404-2023.docx", "A 19404-2023")</f>
        <v/>
      </c>
      <c r="X343">
        <f>HYPERLINK("https://klasma.github.io/Logging_FINSPANG/tillsyn/A 19404-2023.docx", "A 19404-2023")</f>
        <v/>
      </c>
      <c r="Y343">
        <f>HYPERLINK("https://klasma.github.io/Logging_FINSPANG/tillsynsmail/A 19404-2023.docx", "A 19404-2023")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45192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20377-2023.xlsx", "A 20377-2023")</f>
        <v/>
      </c>
      <c r="T344">
        <f>HYPERLINK("https://klasma.github.io/Logging_NORRKOPING/kartor/A 20377-2023.png", "A 20377-2023")</f>
        <v/>
      </c>
      <c r="V344">
        <f>HYPERLINK("https://klasma.github.io/Logging_NORRKOPING/klagomål/A 20377-2023.docx", "A 20377-2023")</f>
        <v/>
      </c>
      <c r="W344">
        <f>HYPERLINK("https://klasma.github.io/Logging_NORRKOPING/klagomålsmail/A 20377-2023.docx", "A 20377-2023")</f>
        <v/>
      </c>
      <c r="X344">
        <f>HYPERLINK("https://klasma.github.io/Logging_NORRKOPING/tillsyn/A 20377-2023.docx", "A 20377-2023")</f>
        <v/>
      </c>
      <c r="Y344">
        <f>HYPERLINK("https://klasma.github.io/Logging_NORRKOPING/tillsynsmail/A 20377-2023.docx", "A 20377-2023")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45192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21833-2023.xlsx", "A 21833-2023")</f>
        <v/>
      </c>
      <c r="T345">
        <f>HYPERLINK("https://klasma.github.io/Logging_NORRKOPING/kartor/A 21833-2023.png", "A 21833-2023")</f>
        <v/>
      </c>
      <c r="V345">
        <f>HYPERLINK("https://klasma.github.io/Logging_NORRKOPING/klagomål/A 21833-2023.docx", "A 21833-2023")</f>
        <v/>
      </c>
      <c r="W345">
        <f>HYPERLINK("https://klasma.github.io/Logging_NORRKOPING/klagomålsmail/A 21833-2023.docx", "A 21833-2023")</f>
        <v/>
      </c>
      <c r="X345">
        <f>HYPERLINK("https://klasma.github.io/Logging_NORRKOPING/tillsyn/A 21833-2023.docx", "A 21833-2023")</f>
        <v/>
      </c>
      <c r="Y345">
        <f>HYPERLINK("https://klasma.github.io/Logging_NORRKOPING/tillsynsmail/A 21833-2023.docx", "A 21833-2023")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45192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22137-2023.xlsx", "A 22137-2023")</f>
        <v/>
      </c>
      <c r="T346">
        <f>HYPERLINK("https://klasma.github.io/Logging_LINKOPING/kartor/A 22137-2023.png", "A 22137-2023")</f>
        <v/>
      </c>
      <c r="V346">
        <f>HYPERLINK("https://klasma.github.io/Logging_LINKOPING/klagomål/A 22137-2023.docx", "A 22137-2023")</f>
        <v/>
      </c>
      <c r="W346">
        <f>HYPERLINK("https://klasma.github.io/Logging_LINKOPING/klagomålsmail/A 22137-2023.docx", "A 22137-2023")</f>
        <v/>
      </c>
      <c r="X346">
        <f>HYPERLINK("https://klasma.github.io/Logging_LINKOPING/tillsyn/A 22137-2023.docx", "A 22137-2023")</f>
        <v/>
      </c>
      <c r="Y346">
        <f>HYPERLINK("https://klasma.github.io/Logging_LINKOPING/tillsynsmail/A 22137-2023.docx", "A 22137-2023")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45192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22949-2023.xlsx", "A 22949-2023")</f>
        <v/>
      </c>
      <c r="T347">
        <f>HYPERLINK("https://klasma.github.io/Logging_ATVIDABERG/kartor/A 22949-2023.png", "A 22949-2023")</f>
        <v/>
      </c>
      <c r="V347">
        <f>HYPERLINK("https://klasma.github.io/Logging_ATVIDABERG/klagomål/A 22949-2023.docx", "A 22949-2023")</f>
        <v/>
      </c>
      <c r="W347">
        <f>HYPERLINK("https://klasma.github.io/Logging_ATVIDABERG/klagomålsmail/A 22949-2023.docx", "A 22949-2023")</f>
        <v/>
      </c>
      <c r="X347">
        <f>HYPERLINK("https://klasma.github.io/Logging_ATVIDABERG/tillsyn/A 22949-2023.docx", "A 22949-2023")</f>
        <v/>
      </c>
      <c r="Y347">
        <f>HYPERLINK("https://klasma.github.io/Logging_ATVIDABERG/tillsynsmail/A 22949-2023.docx", "A 22949-2023")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45192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23864-2023.xlsx", "A 23864-2023")</f>
        <v/>
      </c>
      <c r="T348">
        <f>HYPERLINK("https://klasma.github.io/Logging_LINKOPING/kartor/A 23864-2023.png", "A 23864-2023")</f>
        <v/>
      </c>
      <c r="V348">
        <f>HYPERLINK("https://klasma.github.io/Logging_LINKOPING/klagomål/A 23864-2023.docx", "A 23864-2023")</f>
        <v/>
      </c>
      <c r="W348">
        <f>HYPERLINK("https://klasma.github.io/Logging_LINKOPING/klagomålsmail/A 23864-2023.docx", "A 23864-2023")</f>
        <v/>
      </c>
      <c r="X348">
        <f>HYPERLINK("https://klasma.github.io/Logging_LINKOPING/tillsyn/A 23864-2023.docx", "A 23864-2023")</f>
        <v/>
      </c>
      <c r="Y348">
        <f>HYPERLINK("https://klasma.github.io/Logging_LINKOPING/tillsynsmail/A 23864-2023.docx", "A 23864-2023")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45192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24411-2023.xlsx", "A 24411-2023")</f>
        <v/>
      </c>
      <c r="T349">
        <f>HYPERLINK("https://klasma.github.io/Logging_FINSPANG/kartor/A 24411-2023.png", "A 24411-2023")</f>
        <v/>
      </c>
      <c r="V349">
        <f>HYPERLINK("https://klasma.github.io/Logging_FINSPANG/klagomål/A 24411-2023.docx", "A 24411-2023")</f>
        <v/>
      </c>
      <c r="W349">
        <f>HYPERLINK("https://klasma.github.io/Logging_FINSPANG/klagomålsmail/A 24411-2023.docx", "A 24411-2023")</f>
        <v/>
      </c>
      <c r="X349">
        <f>HYPERLINK("https://klasma.github.io/Logging_FINSPANG/tillsyn/A 24411-2023.docx", "A 24411-2023")</f>
        <v/>
      </c>
      <c r="Y349">
        <f>HYPERLINK("https://klasma.github.io/Logging_FINSPANG/tillsynsmail/A 24411-2023.docx", "A 24411-2023")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45192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25203-2023.xlsx", "A 25203-2023")</f>
        <v/>
      </c>
      <c r="T350">
        <f>HYPERLINK("https://klasma.github.io/Logging_VADSTENA/kartor/A 25203-2023.png", "A 25203-2023")</f>
        <v/>
      </c>
      <c r="V350">
        <f>HYPERLINK("https://klasma.github.io/Logging_VADSTENA/klagomål/A 25203-2023.docx", "A 25203-2023")</f>
        <v/>
      </c>
      <c r="W350">
        <f>HYPERLINK("https://klasma.github.io/Logging_VADSTENA/klagomålsmail/A 25203-2023.docx", "A 25203-2023")</f>
        <v/>
      </c>
      <c r="X350">
        <f>HYPERLINK("https://klasma.github.io/Logging_VADSTENA/tillsyn/A 25203-2023.docx", "A 25203-2023")</f>
        <v/>
      </c>
      <c r="Y350">
        <f>HYPERLINK("https://klasma.github.io/Logging_VADSTENA/tillsynsmail/A 25203-2023.docx", "A 25203-2023")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45192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25855-2023.xlsx", "A 25855-2023")</f>
        <v/>
      </c>
      <c r="T351">
        <f>HYPERLINK("https://klasma.github.io/Logging_YDRE/kartor/A 25855-2023.png", "A 25855-2023")</f>
        <v/>
      </c>
      <c r="V351">
        <f>HYPERLINK("https://klasma.github.io/Logging_YDRE/klagomål/A 25855-2023.docx", "A 25855-2023")</f>
        <v/>
      </c>
      <c r="W351">
        <f>HYPERLINK("https://klasma.github.io/Logging_YDRE/klagomålsmail/A 25855-2023.docx", "A 25855-2023")</f>
        <v/>
      </c>
      <c r="X351">
        <f>HYPERLINK("https://klasma.github.io/Logging_YDRE/tillsyn/A 25855-2023.docx", "A 25855-2023")</f>
        <v/>
      </c>
      <c r="Y351">
        <f>HYPERLINK("https://klasma.github.io/Logging_YDRE/tillsynsmail/A 25855-2023.docx", "A 25855-2023")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45192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26808-2023.xlsx", "A 26808-2023")</f>
        <v/>
      </c>
      <c r="T352">
        <f>HYPERLINK("https://klasma.github.io/Logging_KINDA/kartor/A 26808-2023.png", "A 26808-2023")</f>
        <v/>
      </c>
      <c r="V352">
        <f>HYPERLINK("https://klasma.github.io/Logging_KINDA/klagomål/A 26808-2023.docx", "A 26808-2023")</f>
        <v/>
      </c>
      <c r="W352">
        <f>HYPERLINK("https://klasma.github.io/Logging_KINDA/klagomålsmail/A 26808-2023.docx", "A 26808-2023")</f>
        <v/>
      </c>
      <c r="X352">
        <f>HYPERLINK("https://klasma.github.io/Logging_KINDA/tillsyn/A 26808-2023.docx", "A 26808-2023")</f>
        <v/>
      </c>
      <c r="Y352">
        <f>HYPERLINK("https://klasma.github.io/Logging_KINDA/tillsynsmail/A 26808-2023.docx", "A 26808-2023")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45192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26812-2023.xlsx", "A 26812-2023")</f>
        <v/>
      </c>
      <c r="T353">
        <f>HYPERLINK("https://klasma.github.io/Logging_KINDA/kartor/A 26812-2023.png", "A 26812-2023")</f>
        <v/>
      </c>
      <c r="V353">
        <f>HYPERLINK("https://klasma.github.io/Logging_KINDA/klagomål/A 26812-2023.docx", "A 26812-2023")</f>
        <v/>
      </c>
      <c r="W353">
        <f>HYPERLINK("https://klasma.github.io/Logging_KINDA/klagomålsmail/A 26812-2023.docx", "A 26812-2023")</f>
        <v/>
      </c>
      <c r="X353">
        <f>HYPERLINK("https://klasma.github.io/Logging_KINDA/tillsyn/A 26812-2023.docx", "A 26812-2023")</f>
        <v/>
      </c>
      <c r="Y353">
        <f>HYPERLINK("https://klasma.github.io/Logging_KINDA/tillsynsmail/A 26812-2023.docx", "A 26812-2023")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45192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26800-2023.xlsx", "A 26800-2023")</f>
        <v/>
      </c>
      <c r="T354">
        <f>HYPERLINK("https://klasma.github.io/Logging_KINDA/kartor/A 26800-2023.png", "A 26800-2023")</f>
        <v/>
      </c>
      <c r="V354">
        <f>HYPERLINK("https://klasma.github.io/Logging_KINDA/klagomål/A 26800-2023.docx", "A 26800-2023")</f>
        <v/>
      </c>
      <c r="W354">
        <f>HYPERLINK("https://klasma.github.io/Logging_KINDA/klagomålsmail/A 26800-2023.docx", "A 26800-2023")</f>
        <v/>
      </c>
      <c r="X354">
        <f>HYPERLINK("https://klasma.github.io/Logging_KINDA/tillsyn/A 26800-2023.docx", "A 26800-2023")</f>
        <v/>
      </c>
      <c r="Y354">
        <f>HYPERLINK("https://klasma.github.io/Logging_KINDA/tillsynsmail/A 26800-2023.docx", "A 26800-2023")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45192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27107-2023.xlsx", "A 27107-2023")</f>
        <v/>
      </c>
      <c r="T355">
        <f>HYPERLINK("https://klasma.github.io/Logging_NORRKOPING/kartor/A 27107-2023.png", "A 27107-2023")</f>
        <v/>
      </c>
      <c r="V355">
        <f>HYPERLINK("https://klasma.github.io/Logging_NORRKOPING/klagomål/A 27107-2023.docx", "A 27107-2023")</f>
        <v/>
      </c>
      <c r="W355">
        <f>HYPERLINK("https://klasma.github.io/Logging_NORRKOPING/klagomålsmail/A 27107-2023.docx", "A 27107-2023")</f>
        <v/>
      </c>
      <c r="X355">
        <f>HYPERLINK("https://klasma.github.io/Logging_NORRKOPING/tillsyn/A 27107-2023.docx", "A 27107-2023")</f>
        <v/>
      </c>
      <c r="Y355">
        <f>HYPERLINK("https://klasma.github.io/Logging_NORRKOPING/tillsynsmail/A 27107-2023.docx", "A 27107-2023")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45192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29236-2023.xlsx", "A 29236-2023")</f>
        <v/>
      </c>
      <c r="T356">
        <f>HYPERLINK("https://klasma.github.io/Logging_NORRKOPING/kartor/A 29236-2023.png", "A 29236-2023")</f>
        <v/>
      </c>
      <c r="V356">
        <f>HYPERLINK("https://klasma.github.io/Logging_NORRKOPING/klagomål/A 29236-2023.docx", "A 29236-2023")</f>
        <v/>
      </c>
      <c r="W356">
        <f>HYPERLINK("https://klasma.github.io/Logging_NORRKOPING/klagomålsmail/A 29236-2023.docx", "A 29236-2023")</f>
        <v/>
      </c>
      <c r="X356">
        <f>HYPERLINK("https://klasma.github.io/Logging_NORRKOPING/tillsyn/A 29236-2023.docx", "A 29236-2023")</f>
        <v/>
      </c>
      <c r="Y356">
        <f>HYPERLINK("https://klasma.github.io/Logging_NORRKOPING/tillsynsmail/A 29236-2023.docx", "A 29236-2023")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45192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32510-2023.xlsx", "A 32510-2023")</f>
        <v/>
      </c>
      <c r="T357">
        <f>HYPERLINK("https://klasma.github.io/Logging_NORRKOPING/kartor/A 32510-2023.png", "A 32510-2023")</f>
        <v/>
      </c>
      <c r="V357">
        <f>HYPERLINK("https://klasma.github.io/Logging_NORRKOPING/klagomål/A 32510-2023.docx", "A 32510-2023")</f>
        <v/>
      </c>
      <c r="W357">
        <f>HYPERLINK("https://klasma.github.io/Logging_NORRKOPING/klagomålsmail/A 32510-2023.docx", "A 32510-2023")</f>
        <v/>
      </c>
      <c r="X357">
        <f>HYPERLINK("https://klasma.github.io/Logging_NORRKOPING/tillsyn/A 32510-2023.docx", "A 32510-2023")</f>
        <v/>
      </c>
      <c r="Y357">
        <f>HYPERLINK("https://klasma.github.io/Logging_NORRKOPING/tillsynsmail/A 32510-2023.docx", "A 32510-2023")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45192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32570-2023.xlsx", "A 32570-2023")</f>
        <v/>
      </c>
      <c r="T358">
        <f>HYPERLINK("https://klasma.github.io/Logging_FINSPANG/kartor/A 32570-2023.png", "A 32570-2023")</f>
        <v/>
      </c>
      <c r="V358">
        <f>HYPERLINK("https://klasma.github.io/Logging_FINSPANG/klagomål/A 32570-2023.docx", "A 32570-2023")</f>
        <v/>
      </c>
      <c r="W358">
        <f>HYPERLINK("https://klasma.github.io/Logging_FINSPANG/klagomålsmail/A 32570-2023.docx", "A 32570-2023")</f>
        <v/>
      </c>
      <c r="X358">
        <f>HYPERLINK("https://klasma.github.io/Logging_FINSPANG/tillsyn/A 32570-2023.docx", "A 32570-2023")</f>
        <v/>
      </c>
      <c r="Y358">
        <f>HYPERLINK("https://klasma.github.io/Logging_FINSPANG/tillsynsmail/A 32570-2023.docx", "A 32570-2023")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45192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33573-2023.xlsx", "A 33573-2023")</f>
        <v/>
      </c>
      <c r="T359">
        <f>HYPERLINK("https://klasma.github.io/Logging_LINKOPING/kartor/A 33573-2023.png", "A 33573-2023")</f>
        <v/>
      </c>
      <c r="V359">
        <f>HYPERLINK("https://klasma.github.io/Logging_LINKOPING/klagomål/A 33573-2023.docx", "A 33573-2023")</f>
        <v/>
      </c>
      <c r="W359">
        <f>HYPERLINK("https://klasma.github.io/Logging_LINKOPING/klagomålsmail/A 33573-2023.docx", "A 33573-2023")</f>
        <v/>
      </c>
      <c r="X359">
        <f>HYPERLINK("https://klasma.github.io/Logging_LINKOPING/tillsyn/A 33573-2023.docx", "A 33573-2023")</f>
        <v/>
      </c>
      <c r="Y359">
        <f>HYPERLINK("https://klasma.github.io/Logging_LINKOPING/tillsynsmail/A 33573-2023.docx", "A 33573-2023")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45192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35948-2023.xlsx", "A 35948-2023")</f>
        <v/>
      </c>
      <c r="T360">
        <f>HYPERLINK("https://klasma.github.io/Logging_LINKOPING/kartor/A 35948-2023.png", "A 35948-2023")</f>
        <v/>
      </c>
      <c r="V360">
        <f>HYPERLINK("https://klasma.github.io/Logging_LINKOPING/klagomål/A 35948-2023.docx", "A 35948-2023")</f>
        <v/>
      </c>
      <c r="W360">
        <f>HYPERLINK("https://klasma.github.io/Logging_LINKOPING/klagomålsmail/A 35948-2023.docx", "A 35948-2023")</f>
        <v/>
      </c>
      <c r="X360">
        <f>HYPERLINK("https://klasma.github.io/Logging_LINKOPING/tillsyn/A 35948-2023.docx", "A 35948-2023")</f>
        <v/>
      </c>
      <c r="Y360">
        <f>HYPERLINK("https://klasma.github.io/Logging_LINKOPING/tillsynsmail/A 35948-2023.docx", "A 35948-2023")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45192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38229-2023.xlsx", "A 38229-2023")</f>
        <v/>
      </c>
      <c r="T361">
        <f>HYPERLINK("https://klasma.github.io/Logging_LINKOPING/kartor/A 38229-2023.png", "A 38229-2023")</f>
        <v/>
      </c>
      <c r="V361">
        <f>HYPERLINK("https://klasma.github.io/Logging_LINKOPING/klagomål/A 38229-2023.docx", "A 38229-2023")</f>
        <v/>
      </c>
      <c r="W361">
        <f>HYPERLINK("https://klasma.github.io/Logging_LINKOPING/klagomålsmail/A 38229-2023.docx", "A 38229-2023")</f>
        <v/>
      </c>
      <c r="X361">
        <f>HYPERLINK("https://klasma.github.io/Logging_LINKOPING/tillsyn/A 38229-2023.docx", "A 38229-2023")</f>
        <v/>
      </c>
      <c r="Y361">
        <f>HYPERLINK("https://klasma.github.io/Logging_LINKOPING/tillsynsmail/A 38229-2023.docx", "A 38229-2023")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45192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39872-2023.xlsx", "A 39872-2023")</f>
        <v/>
      </c>
      <c r="T362">
        <f>HYPERLINK("https://klasma.github.io/Logging_LINKOPING/kartor/A 39872-2023.png", "A 39872-2023")</f>
        <v/>
      </c>
      <c r="V362">
        <f>HYPERLINK("https://klasma.github.io/Logging_LINKOPING/klagomål/A 39872-2023.docx", "A 39872-2023")</f>
        <v/>
      </c>
      <c r="W362">
        <f>HYPERLINK("https://klasma.github.io/Logging_LINKOPING/klagomålsmail/A 39872-2023.docx", "A 39872-2023")</f>
        <v/>
      </c>
      <c r="X362">
        <f>HYPERLINK("https://klasma.github.io/Logging_LINKOPING/tillsyn/A 39872-2023.docx", "A 39872-2023")</f>
        <v/>
      </c>
      <c r="Y362">
        <f>HYPERLINK("https://klasma.github.io/Logging_LINKOPING/tillsynsmail/A 39872-2023.docx", "A 39872-2023")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45192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45192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45192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45192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45192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45192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45192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45192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45192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45192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45192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45192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45192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45192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45192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45192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45192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45192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45192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45192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45192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45192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45192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45192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45192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45192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45192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45192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45192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45192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45192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45192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45192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45192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45192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45192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45192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45192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45192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45192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45192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45192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45192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45192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45192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45192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45192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45192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45192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45192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45192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45192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45192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45192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45192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45192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45192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45192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45192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45192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45192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45192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45192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45192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45192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45192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45192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45192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45192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45192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45192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45192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45192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45192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45192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45192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45192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45192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45192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45192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45192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45192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45192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45192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45192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45192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45192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45192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45192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45192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45192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45192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45192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45192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45192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45192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45192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45192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45192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45192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45192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45192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45192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45192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45192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45192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45192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45192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45192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45192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45192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45192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45192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45192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45192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45192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45192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45192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45192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45192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45192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45192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45192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45192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45192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45192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45192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45192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45192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45192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45192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45192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45192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45192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45192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45192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45192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45192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45192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45192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45192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45192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45192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45192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45192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45192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45192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45192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45192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45192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45192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45192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45192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45192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45192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45192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45192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45192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45192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45192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45192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45192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45192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45192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45192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45192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45192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45192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45192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45192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45192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45192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45192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45192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45192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45192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45192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45192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45192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45192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45192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45192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45192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45192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45192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45192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45192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45192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45192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45192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45192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45192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45192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45192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45192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45192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45192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45192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45192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45192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45192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45192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45192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45192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45192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45192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45192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45192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45192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45192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45192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45192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45192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45192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45192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45192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45192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45192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45192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45192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45192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45192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45192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45192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45192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45192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45192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45192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45192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45192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45192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45192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45192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45192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45192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45192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45192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45192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45192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45192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45192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45192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45192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45192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45192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45192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45192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45192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45192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45192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45192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45192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45192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45192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45192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45192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45192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45192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45192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45192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45192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45192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45192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45192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45192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45192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45192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45192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45192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45192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45192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45192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45192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45192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45192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45192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45192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45192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45192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45192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45192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45192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45192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45192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45192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45192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45192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45192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45192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45192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45192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45192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45192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45192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45192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45192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45192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45192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45192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45192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45192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45192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45192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45192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45192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45192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45192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45192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45192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45192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45192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45192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45192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45192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45192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45192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45192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45192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45192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45192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45192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45192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45192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45192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45192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45192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45192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45192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45192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45192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45192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45192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45192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45192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45192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45192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45192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45192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45192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45192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45192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45192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45192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45192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45192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45192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45192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45192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45192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45192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45192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45192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45192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45192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45192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45192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45192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45192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45192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45192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45192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45192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45192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45192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45192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45192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45192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45192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45192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45192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45192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45192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45192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45192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45192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45192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45192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45192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45192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45192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45192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45192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45192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45192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45192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45192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45192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45192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45192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45192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45192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45192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45192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45192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45192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45192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45192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45192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45192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45192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45192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45192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45192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45192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45192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45192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45192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45192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45192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45192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45192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45192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45192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45192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45192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45192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45192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45192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45192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45192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45192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45192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45192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45192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45192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45192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45192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45192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45192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45192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45192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45192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45192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45192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45192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45192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45192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45192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45192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45192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45192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45192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45192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45192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45192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45192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45192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45192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45192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45192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45192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45192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45192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45192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45192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45192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45192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45192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45192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45192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45192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45192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45192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45192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45192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45192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45192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45192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45192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45192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45192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45192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45192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45192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45192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45192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45192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45192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45192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45192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45192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45192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45192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45192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45192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45192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45192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45192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45192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45192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45192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45192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45192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45192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45192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45192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45192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45192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45192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45192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45192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45192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45192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45192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45192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45192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45192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45192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45192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45192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45192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45192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45192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45192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45192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45192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45192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45192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45192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45192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45192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45192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45192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45192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45192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45192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45192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45192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45192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45192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45192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45192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45192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45192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45192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45192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45192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45192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45192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45192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45192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45192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45192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45192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45192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45192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45192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45192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45192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45192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45192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45192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45192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45192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45192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45192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45192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45192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45192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45192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45192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45192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45192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45192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45192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45192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45192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45192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45192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45192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45192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45192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45192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45192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45192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45192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45192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45192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45192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45192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45192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45192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45192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45192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45192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45192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45192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45192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45192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45192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45192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45192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45192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45192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45192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45192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45192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45192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45192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45192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45192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45192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45192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45192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45192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45192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45192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45192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45192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45192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45192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45192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45192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45192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45192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45192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45192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45192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45192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45192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45192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45192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45192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45192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45192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45192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45192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45192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45192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45192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45192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45192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45192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45192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45192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45192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45192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45192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45192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45192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45192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45192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45192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45192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45192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45192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45192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45192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45192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45192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45192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45192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45192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45192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45192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45192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45192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45192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45192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45192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45192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45192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45192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45192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45192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45192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45192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45192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45192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45192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45192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45192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45192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45192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45192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45192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45192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45192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45192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45192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45192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45192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45192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45192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45192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45192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45192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45192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45192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45192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45192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45192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45192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45192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45192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45192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45192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45192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45192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45192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45192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45192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45192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45192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45192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45192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45192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45192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45192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45192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45192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45192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45192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45192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45192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45192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45192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45192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45192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45192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45192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45192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45192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45192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45192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45192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45192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45192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45192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45192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45192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45192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45192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45192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45192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45192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45192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45192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45192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45192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45192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45192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45192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45192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45192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45192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45192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45192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45192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45192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45192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45192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45192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45192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45192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45192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45192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45192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45192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45192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45192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45192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45192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45192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45192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45192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45192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45192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45192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45192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45192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45192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45192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45192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45192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45192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45192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45192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45192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45192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45192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45192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45192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45192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45192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45192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45192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45192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45192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45192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45192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45192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45192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45192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45192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45192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45192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45192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45192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45192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45192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45192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45192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45192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45192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45192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45192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45192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45192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45192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45192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45192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45192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45192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45192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45192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45192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45192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45192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45192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45192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45192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45192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45192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45192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45192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45192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45192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45192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45192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45192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45192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45192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45192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45192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45192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45192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45192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45192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45192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45192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45192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45192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45192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45192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45192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45192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45192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45192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45192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45192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45192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45192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45192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45192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45192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45192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45192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45192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45192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45192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45192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45192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45192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45192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45192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45192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45192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45192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45192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45192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45192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45192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45192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45192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45192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45192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45192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45192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45192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45192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45192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45192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45192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45192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45192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45192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45192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45192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45192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45192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45192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45192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45192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45192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45192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45192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45192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45192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45192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45192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45192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45192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45192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45192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45192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45192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45192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45192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45192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45192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45192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45192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45192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45192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45192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45192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45192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45192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45192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45192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45192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45192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45192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45192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45192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45192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45192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45192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45192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45192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45192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45192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45192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45192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45192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45192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45192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45192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45192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45192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45192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45192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45192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45192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45192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45192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45192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45192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45192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45192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45192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45192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45192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45192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45192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45192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45192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45192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45192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45192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45192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45192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45192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45192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45192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45192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45192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45192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45192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45192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45192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45192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45192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45192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45192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45192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45192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45192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45192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45192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45192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45192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45192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45192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45192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45192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45192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45192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45192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45192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45192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45192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45192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45192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45192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45192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45192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45192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45192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45192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45192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45192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45192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45192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45192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45192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45192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45192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45192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45192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45192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45192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45192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45192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45192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45192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45192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45192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45192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45192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45192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45192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45192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45192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45192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45192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45192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45192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45192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45192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45192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45192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45192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45192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45192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45192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45192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45192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45192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45192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45192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45192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45192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45192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45192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45192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45192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45192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45192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45192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45192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45192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45192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45192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45192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45192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45192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45192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45192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45192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45192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45192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45192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45192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45192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45192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45192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45192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45192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45192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45192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45192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45192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45192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45192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45192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45192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45192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45192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45192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45192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45192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45192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45192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45192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45192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45192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45192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45192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45192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45192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45192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45192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45192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45192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45192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45192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45192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45192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45192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45192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45192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45192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45192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45192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45192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45192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45192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45192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45192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45192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45192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45192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45192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45192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45192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45192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45192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45192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45192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45192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45192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45192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45192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45192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45192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45192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45192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45192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45192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45192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45192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45192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45192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45192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45192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45192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45192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45192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45192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45192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45192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45192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45192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45192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45192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45192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45192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45192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45192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45192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45192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45192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45192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45192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45192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45192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45192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45192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45192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45192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45192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45192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45192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45192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45192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45192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45192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45192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45192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45192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45192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45192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45192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45192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45192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45192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45192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45192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45192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45192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45192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45192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45192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45192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45192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45192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45192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45192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45192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45192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45192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45192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45192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45192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45192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45192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45192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45192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45192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45192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45192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45192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45192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45192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45192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45192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45192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45192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45192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45192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45192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45192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45192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45192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45192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45192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45192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45192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45192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45192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45192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45192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45192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45192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45192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45192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45192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45192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45192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45192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45192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45192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45192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45192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45192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45192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45192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45192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45192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45192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45192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45192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45192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45192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45192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45192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45192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45192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45192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45192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45192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45192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45192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45192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45192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45192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45192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45192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45192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45192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45192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45192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45192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45192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45192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45192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45192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45192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45192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45192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45192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45192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45192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45192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45192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45192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45192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45192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45192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45192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45192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45192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45192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45192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45192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45192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45192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45192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45192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45192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45192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45192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45192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45192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45192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45192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45192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45192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45192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45192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45192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45192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45192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45192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45192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45192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45192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45192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45192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45192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45192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45192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45192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45192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45192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45192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45192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45192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45192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45192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45192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45192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45192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45192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45192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45192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45192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45192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45192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45192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45192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45192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45192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45192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45192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45192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45192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45192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45192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45192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45192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45192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45192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45192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45192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45192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45192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45192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45192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45192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45192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45192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45192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45192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45192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45192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45192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45192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45192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45192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45192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45192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45192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45192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45192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45192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45192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45192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45192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45192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45192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45192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45192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45192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45192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45192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45192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45192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45192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45192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45192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45192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45192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45192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45192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45192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45192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45192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45192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45192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45192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45192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45192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45192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45192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45192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45192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45192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45192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45192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45192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45192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45192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45192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45192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45192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45192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45192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45192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45192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45192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45192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45192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45192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45192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45192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45192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45192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45192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45192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45192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45192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45192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45192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45192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45192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45192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45192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45192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45192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45192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45192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45192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45192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45192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45192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45192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45192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45192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45192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45192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45192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45192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45192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45192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45192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45192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45192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45192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45192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45192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45192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45192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45192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45192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45192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45192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45192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45192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45192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45192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45192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45192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45192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45192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45192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45192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45192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45192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45192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45192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45192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45192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45192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45192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45192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45192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45192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45192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45192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45192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45192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45192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45192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45192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45192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45192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45192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45192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45192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45192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45192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45192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45192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45192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45192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45192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45192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45192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45192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45192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45192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45192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45192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45192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45192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45192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45192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45192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45192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45192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45192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45192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45192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45192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45192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45192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45192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45192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45192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45192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45192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45192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45192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45192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45192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45192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45192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45192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45192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45192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45192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45192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45192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45192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45192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45192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45192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45192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45192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45192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45192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45192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45192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45192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45192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45192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45192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45192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45192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45192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45192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45192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45192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45192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45192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45192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45192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45192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45192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45192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45192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45192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45192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45192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45192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45192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45192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45192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45192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45192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45192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45192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45192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45192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45192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45192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45192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45192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45192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45192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45192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45192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45192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45192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45192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45192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45192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45192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45192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45192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45192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45192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45192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45192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45192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45192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45192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45192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45192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45192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45192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45192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45192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45192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45192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45192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45192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45192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45192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45192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45192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45192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45192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45192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45192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45192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45192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45192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45192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45192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45192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45192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45192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45192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45192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45192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45192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45192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45192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45192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45192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45192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45192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45192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45192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45192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45192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45192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45192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45192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45192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45192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45192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45192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45192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45192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45192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45192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45192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45192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45192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45192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45192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45192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45192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45192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45192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45192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45192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45192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45192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45192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45192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45192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45192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45192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45192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45192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45192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45192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45192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45192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45192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45192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45192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45192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45192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45192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45192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45192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45192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45192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45192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45192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45192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45192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45192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45192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45192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45192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45192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45192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45192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45192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45192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45192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45192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45192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45192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45192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45192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45192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45192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45192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45192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45192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45192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45192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45192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45192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45192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45192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45192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45192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45192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45192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45192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45192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45192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45192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45192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45192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45192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45192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45192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45192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45192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45192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45192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45192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45192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45192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45192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45192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45192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45192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45192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45192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45192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45192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45192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45192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45192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45192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45192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45192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45192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45192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45192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45192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45192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45192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45192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45192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45192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45192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45192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45192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45192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45192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45192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45192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45192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45192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45192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45192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45192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45192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45192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45192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45192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45192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45192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45192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45192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45192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45192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45192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45192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45192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45192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45192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45192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45192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45192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45192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45192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45192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45192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45192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45192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45192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45192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45192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45192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45192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45192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45192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45192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45192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45192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45192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45192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45192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45192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45192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45192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45192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45192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45192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45192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45192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45192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45192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45192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45192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45192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45192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45192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45192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45192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45192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45192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45192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45192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45192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45192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45192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45192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45192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45192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45192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45192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45192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45192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45192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45192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45192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45192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45192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45192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45192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45192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45192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45192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45192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45192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45192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45192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45192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45192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45192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45192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45192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45192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45192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45192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45192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45192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45192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45192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45192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45192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45192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45192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45192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45192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45192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45192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45192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45192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45192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45192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45192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45192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45192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45192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45192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45192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45192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45192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45192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45192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45192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45192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45192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45192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45192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45192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45192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45192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45192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45192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45192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45192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45192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45192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45192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45192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45192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45192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45192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45192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45192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45192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45192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45192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31910-2020.png", "A 31910-2020")</f>
        <v/>
      </c>
      <c r="V2272">
        <f>HYPERLINK("https://klasma.github.io/Logging_MOTALA/klagomål/A 31910-2020.docx", "A 31910-2020")</f>
        <v/>
      </c>
      <c r="W2272">
        <f>HYPERLINK("https://klasma.github.io/Logging_MOTALA/klagomålsmail/A 31910-2020.docx", "A 31910-2020")</f>
        <v/>
      </c>
      <c r="X2272">
        <f>HYPERLINK("https://klasma.github.io/Logging_MOTALA/tillsyn/A 31910-2020.docx", "A 31910-2020")</f>
        <v/>
      </c>
      <c r="Y2272">
        <f>HYPERLINK("https://klasma.github.io/Logging_MOTALA/tillsynsmail/A 31910-2020.docx", "A 31910-2020")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45192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45192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45192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45192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45192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45192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45192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45192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45192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45192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45192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45192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45192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45192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45192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45192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45192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45192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45192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45192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45192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45192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45192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45192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45192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45192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45192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45192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45192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45192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45192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45192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45192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45192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45192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45192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45192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45192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45192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45192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45192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45192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45192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45192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45192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45192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45192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45192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45192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45192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45192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45192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45192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45192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45192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45192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45192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45192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45192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45192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45192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45192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45192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45192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45192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45192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45192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45192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45192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45192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45192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45192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45192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45192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45192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45192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45192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45192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45192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45192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45192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45192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45192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45192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45192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45192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45192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45192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45192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45192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45192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45192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45192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45192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45192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45192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45192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45192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45192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45192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45192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45192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45192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45192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45192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45192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45192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45192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45192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45192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45192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45192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45192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45192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45192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45192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45192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45192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45192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45192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45192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45192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45192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45192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45192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45192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45192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45192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45192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45192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45192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45192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45192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45192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45192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45192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45192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45192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45192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45192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45192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45192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45192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45192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45192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45192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45192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45192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45192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45192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45192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45192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45192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45192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45192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45192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45192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45192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45192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45192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45192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45192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45192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45192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45192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45192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45192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45192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45192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45192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45192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45192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45192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45192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45192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45192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45192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45192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45192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45192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45192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45192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45192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45192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45192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45192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45192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45192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45192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45192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45192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45192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45192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45192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45192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45192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45192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45192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45192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45192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45192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45192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45192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45192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45192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45192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45192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45192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45192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45192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45192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45192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45192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45192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45192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45192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45192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45192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45192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45192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45192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45192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45192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45192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45192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45192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45192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45192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45192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45192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45192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45192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45192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45192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45192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45192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45192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45192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45192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45192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45192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45192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45192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45192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45192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45192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45192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45192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45192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45192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45192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45192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45192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45192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45192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45192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45192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45192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45192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45192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45192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45192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45192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45192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45192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45192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45192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45192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45192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45192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45192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45192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45192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45192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45192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45192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45192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45192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45192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45192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45192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45192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45192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45192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45192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45192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45192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45192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45192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45192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45192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45192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45192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45192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45192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45192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45192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45192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45192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45192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45192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45192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45192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45192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45192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45192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45192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45192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45192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45192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45192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45192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45192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45192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45192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45192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45192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45192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45192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45192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45192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45192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45192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45192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45192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45192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45192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45192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45192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45192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45192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45192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45192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45192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45192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45192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45192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45192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45192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45192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45192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45192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45192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45192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45192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45192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45192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45192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45192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45192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45192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45192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45192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45192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45192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45192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45192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45192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45192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45192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45192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45192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45192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45192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45192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45192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45192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45192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45192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45192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45192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45192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45192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45192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45192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45192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45192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45192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45192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45192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45192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45192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45192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45192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45192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45192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45192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45192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45192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45192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45192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45192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45192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45192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45192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45192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45192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45192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45192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45192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45192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45192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45192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45192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45192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45192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45192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45192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45192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45192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45192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45192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45192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45192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45192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45192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45192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45192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45192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45192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45192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45192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45192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45192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45192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45192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45192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45192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45192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45192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45192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45192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45192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45192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45192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45192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45192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45192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45192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45192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45192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45192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45192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45192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45192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45192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45192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45192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45192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45192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45192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45192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45192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45192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45192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45192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45192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45192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45192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45192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45192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45192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45192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45192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45192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45192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45192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45192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45192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45192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45192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45192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45192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45192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45192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45192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45192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45192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45192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45192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45192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45192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45192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45192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45192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45192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45192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45192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45192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45192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45192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45192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45192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45192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45192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45192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45192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45192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45192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45192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45192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45192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45192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45192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45192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45192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45192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45192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45192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45192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45192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45192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45192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45192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45192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45192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45192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45192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45192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45192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45192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45192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45192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45192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45192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45192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45192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45192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45192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45192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45192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45192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45192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45192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45192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45192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45192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45192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45192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45192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45192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45192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45192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45192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45192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45192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45192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45192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45192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45192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45192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45192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45192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45192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45192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45192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45192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45192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45192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45192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45192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45192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45192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45192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45192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45192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45192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45192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45192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45192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45192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45192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45192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45192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45192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45192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45192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45192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45192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45192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45192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45192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45192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45192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45192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45192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45192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45192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45192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45192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45192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45192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45192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45192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45192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45192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45192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45192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45192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45192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45192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45192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45192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45192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45192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45192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45192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45192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45192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45192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45192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45192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45192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45192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45192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45192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45192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45192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45192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45192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45192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45192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45192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45192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45192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45192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45192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45192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45192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45192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45192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45192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45192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45192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45192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45192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45192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45192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45192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45192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45192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45192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45192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45192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45192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45192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45192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45192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45192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45192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45192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45192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45192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45192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45192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45192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45192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45192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45192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45192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45192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45192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45192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45192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45192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45192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45192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45192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45192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45192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45192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45192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45192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45192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45192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45192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45192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45192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45192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45192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45192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45192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45192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45192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45192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45192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45192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45192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45192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45192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45192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45192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45192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45192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45192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45192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45192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45192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45192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45192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45192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45192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45192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45192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45192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45192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45192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45192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45192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45192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45192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45192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45192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45192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45192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45192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45192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45192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45192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45192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45192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45192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45192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45192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45192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45192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45192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45192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45192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45192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45192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45192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45192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45192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45192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45192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45192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45192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45192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45192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45192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45192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45192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45192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45192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45192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45192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45192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45192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45192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45192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45192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45192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45192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45192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45192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45192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45192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45192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45192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45192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45192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45192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45192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45192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45192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45192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45192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45192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45192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45192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45192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45192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45192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45192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45192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45192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45192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45192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45192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45192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45192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45192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45192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45192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45192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45192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45192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45192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45192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45192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45192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45192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45192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45192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45192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45192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45192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45192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45192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45192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45192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45192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45192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45192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45192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45192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45192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45192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45192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45192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45192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45192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45192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45192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45192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45192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45192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45192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45192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45192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45192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45192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45192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45192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45192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45192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45192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45192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45192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45192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45192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45192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12578-2021.png", "A 12578-2021")</f>
        <v/>
      </c>
      <c r="V3105">
        <f>HYPERLINK("https://klasma.github.io/Logging_YDRE/klagomål/A 12578-2021.docx", "A 12578-2021")</f>
        <v/>
      </c>
      <c r="W3105">
        <f>HYPERLINK("https://klasma.github.io/Logging_YDRE/klagomålsmail/A 12578-2021.docx", "A 12578-2021")</f>
        <v/>
      </c>
      <c r="X3105">
        <f>HYPERLINK("https://klasma.github.io/Logging_YDRE/tillsyn/A 12578-2021.docx", "A 12578-2021")</f>
        <v/>
      </c>
      <c r="Y3105">
        <f>HYPERLINK("https://klasma.github.io/Logging_YDRE/tillsynsmail/A 12578-2021.docx", "A 12578-2021")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45192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45192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45192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45192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45192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45192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45192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45192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45192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45192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45192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45192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45192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45192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45192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45192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45192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45192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45192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45192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45192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45192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45192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45192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45192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45192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45192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45192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45192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45192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45192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45192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45192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45192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45192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45192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45192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45192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45192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45192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45192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45192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45192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45192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45192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45192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45192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45192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45192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45192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45192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45192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45192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45192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45192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45192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45192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45192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45192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45192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45192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45192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45192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45192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45192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45192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45192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45192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45192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45192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45192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45192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45192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45192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45192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45192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45192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45192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45192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45192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45192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45192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45192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45192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45192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45192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45192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45192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45192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45192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45192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45192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45192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45192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45192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45192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45192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45192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45192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45192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45192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45192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45192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45192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45192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45192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45192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45192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45192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45192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45192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45192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45192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45192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45192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45192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45192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45192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45192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45192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45192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45192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45192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45192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45192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45192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45192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45192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45192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45192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45192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45192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45192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45192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45192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45192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45192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45192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45192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45192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45192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45192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45192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45192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45192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45192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45192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45192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45192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45192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45192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45192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45192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45192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45192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45192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45192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45192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45192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45192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45192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45192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45192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45192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45192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45192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45192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45192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45192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45192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45192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45192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45192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45192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45192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45192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45192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45192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45192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45192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45192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45192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45192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45192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45192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45192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45192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45192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45192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45192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45192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45192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45192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45192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45192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45192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45192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45192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45192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45192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45192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45192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45192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45192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45192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45192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45192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45192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45192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45192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45192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45192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45192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45192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45192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45192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45192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45192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45192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45192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45192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45192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45192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45192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45192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45192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45192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45192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45192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32341-2021.png", "A 32341-2021")</f>
        <v/>
      </c>
      <c r="V3334">
        <f>HYPERLINK("https://klasma.github.io/Logging_MOTALA/klagomål/A 32341-2021.docx", "A 32341-2021")</f>
        <v/>
      </c>
      <c r="W3334">
        <f>HYPERLINK("https://klasma.github.io/Logging_MOTALA/klagomålsmail/A 32341-2021.docx", "A 32341-2021")</f>
        <v/>
      </c>
      <c r="X3334">
        <f>HYPERLINK("https://klasma.github.io/Logging_MOTALA/tillsyn/A 32341-2021.docx", "A 32341-2021")</f>
        <v/>
      </c>
      <c r="Y3334">
        <f>HYPERLINK("https://klasma.github.io/Logging_MOTALA/tillsynsmail/A 32341-2021.docx", "A 32341-2021")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45192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45192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45192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45192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45192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45192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45192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32781-2021.png", "A 32781-2021")</f>
        <v/>
      </c>
      <c r="V3341">
        <f>HYPERLINK("https://klasma.github.io/Logging_KINDA/klagomål/A 32781-2021.docx", "A 32781-2021")</f>
        <v/>
      </c>
      <c r="W3341">
        <f>HYPERLINK("https://klasma.github.io/Logging_KINDA/klagomålsmail/A 32781-2021.docx", "A 32781-2021")</f>
        <v/>
      </c>
      <c r="X3341">
        <f>HYPERLINK("https://klasma.github.io/Logging_KINDA/tillsyn/A 32781-2021.docx", "A 32781-2021")</f>
        <v/>
      </c>
      <c r="Y3341">
        <f>HYPERLINK("https://klasma.github.io/Logging_KINDA/tillsynsmail/A 32781-2021.docx", "A 32781-2021")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45192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45192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45192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45192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45192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45192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45192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45192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45192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45192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45192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45192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45192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45192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45192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45192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45192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45192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45192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45192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45192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45192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45192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45192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45192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45192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45192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45192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45192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45192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45192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45192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45192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45192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45192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45192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45192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45192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45192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45192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45192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45192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45192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45192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45192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45192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45192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45192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45192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45192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45192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45192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45192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45192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45192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45192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45192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45192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45192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45192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45192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45192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45192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45192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45192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45192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45192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45192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45192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45192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45192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45192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45192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45192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45192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45192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45192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45192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45192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45192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45192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45192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45192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45192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45192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45192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45192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45192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45192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45192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45192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45192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45192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45192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45192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45192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45192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45192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45192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45192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45192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45192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45192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45192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45192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45192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45192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45192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45192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45192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45192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45192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45192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45192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45192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45192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45192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45192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45192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41742-2021</t>
        </is>
      </c>
      <c r="B3461" s="1" t="n">
        <v>44425</v>
      </c>
      <c r="C3461" s="1" t="n">
        <v>45192</v>
      </c>
      <c r="D3461" t="inlineStr">
        <is>
          <t>ÖSTERGÖTLANDS LÄN</t>
        </is>
      </c>
      <c r="E3461" t="inlineStr">
        <is>
          <t>FINSPÅNG</t>
        </is>
      </c>
      <c r="G3461" t="n">
        <v>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41768-2021</t>
        </is>
      </c>
      <c r="B3462" s="1" t="n">
        <v>44425</v>
      </c>
      <c r="C3462" s="1" t="n">
        <v>45192</v>
      </c>
      <c r="D3462" t="inlineStr">
        <is>
          <t>ÖSTERGÖTLANDS LÄN</t>
        </is>
      </c>
      <c r="E3462" t="inlineStr">
        <is>
          <t>KINDA</t>
        </is>
      </c>
      <c r="G3462" t="n">
        <v>2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42116-2021</t>
        </is>
      </c>
      <c r="B3463" s="1" t="n">
        <v>44426</v>
      </c>
      <c r="C3463" s="1" t="n">
        <v>45192</v>
      </c>
      <c r="D3463" t="inlineStr">
        <is>
          <t>ÖSTERGÖTLANDS LÄN</t>
        </is>
      </c>
      <c r="E3463" t="inlineStr">
        <is>
          <t>FINSPÅNG</t>
        </is>
      </c>
      <c r="F3463" t="inlineStr">
        <is>
          <t>Holmen skog AB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42311-2021</t>
        </is>
      </c>
      <c r="B3464" s="1" t="n">
        <v>44427</v>
      </c>
      <c r="C3464" s="1" t="n">
        <v>45192</v>
      </c>
      <c r="D3464" t="inlineStr">
        <is>
          <t>ÖSTERGÖTLANDS LÄN</t>
        </is>
      </c>
      <c r="E3464" t="inlineStr">
        <is>
          <t>MOTALA</t>
        </is>
      </c>
      <c r="G3464" t="n">
        <v>6.5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42665-2021</t>
        </is>
      </c>
      <c r="B3465" s="1" t="n">
        <v>44428</v>
      </c>
      <c r="C3465" s="1" t="n">
        <v>45192</v>
      </c>
      <c r="D3465" t="inlineStr">
        <is>
          <t>ÖSTERGÖTLANDS LÄN</t>
        </is>
      </c>
      <c r="E3465" t="inlineStr">
        <is>
          <t>LINKÖPING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42682-2021</t>
        </is>
      </c>
      <c r="B3466" s="1" t="n">
        <v>44428</v>
      </c>
      <c r="C3466" s="1" t="n">
        <v>45192</v>
      </c>
      <c r="D3466" t="inlineStr">
        <is>
          <t>ÖSTERGÖTLANDS LÄN</t>
        </is>
      </c>
      <c r="E3466" t="inlineStr">
        <is>
          <t>FINSPÅNG</t>
        </is>
      </c>
      <c r="G3466" t="n">
        <v>1.6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42595-2021</t>
        </is>
      </c>
      <c r="B3467" s="1" t="n">
        <v>44428</v>
      </c>
      <c r="C3467" s="1" t="n">
        <v>45192</v>
      </c>
      <c r="D3467" t="inlineStr">
        <is>
          <t>ÖSTERGÖTLANDS LÄN</t>
        </is>
      </c>
      <c r="E3467" t="inlineStr">
        <is>
          <t>YDRE</t>
        </is>
      </c>
      <c r="F3467" t="inlineStr">
        <is>
          <t>Övriga Aktiebolag</t>
        </is>
      </c>
      <c r="G3467" t="n">
        <v>4.8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43166-2021</t>
        </is>
      </c>
      <c r="B3468" s="1" t="n">
        <v>44431</v>
      </c>
      <c r="C3468" s="1" t="n">
        <v>45192</v>
      </c>
      <c r="D3468" t="inlineStr">
        <is>
          <t>ÖSTERGÖTLANDS LÄN</t>
        </is>
      </c>
      <c r="E3468" t="inlineStr">
        <is>
          <t>FINSPÅNG</t>
        </is>
      </c>
      <c r="G3468" t="n">
        <v>6.3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42974-2021</t>
        </is>
      </c>
      <c r="B3469" s="1" t="n">
        <v>44431</v>
      </c>
      <c r="C3469" s="1" t="n">
        <v>45192</v>
      </c>
      <c r="D3469" t="inlineStr">
        <is>
          <t>ÖSTERGÖTLANDS LÄN</t>
        </is>
      </c>
      <c r="E3469" t="inlineStr">
        <is>
          <t>MOTALA</t>
        </is>
      </c>
      <c r="G3469" t="n">
        <v>1.7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43167-2021</t>
        </is>
      </c>
      <c r="B3470" s="1" t="n">
        <v>44431</v>
      </c>
      <c r="C3470" s="1" t="n">
        <v>45192</v>
      </c>
      <c r="D3470" t="inlineStr">
        <is>
          <t>ÖSTERGÖTLANDS LÄN</t>
        </is>
      </c>
      <c r="E3470" t="inlineStr">
        <is>
          <t>FINSPÅNG</t>
        </is>
      </c>
      <c r="G3470" t="n">
        <v>6.9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43017-2021</t>
        </is>
      </c>
      <c r="B3471" s="1" t="n">
        <v>44431</v>
      </c>
      <c r="C3471" s="1" t="n">
        <v>45192</v>
      </c>
      <c r="D3471" t="inlineStr">
        <is>
          <t>ÖSTERGÖTLANDS LÄN</t>
        </is>
      </c>
      <c r="E3471" t="inlineStr">
        <is>
          <t>LINKÖPING</t>
        </is>
      </c>
      <c r="G3471" t="n">
        <v>0.9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43096-2021</t>
        </is>
      </c>
      <c r="B3472" s="1" t="n">
        <v>44431</v>
      </c>
      <c r="C3472" s="1" t="n">
        <v>45192</v>
      </c>
      <c r="D3472" t="inlineStr">
        <is>
          <t>ÖSTERGÖTLANDS LÄN</t>
        </is>
      </c>
      <c r="E3472" t="inlineStr">
        <is>
          <t>MJÖLBY</t>
        </is>
      </c>
      <c r="G3472" t="n">
        <v>5.9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43165-2021</t>
        </is>
      </c>
      <c r="B3473" s="1" t="n">
        <v>44431</v>
      </c>
      <c r="C3473" s="1" t="n">
        <v>45192</v>
      </c>
      <c r="D3473" t="inlineStr">
        <is>
          <t>ÖSTERGÖTLANDS LÄN</t>
        </is>
      </c>
      <c r="E3473" t="inlineStr">
        <is>
          <t>FINSPÅNG</t>
        </is>
      </c>
      <c r="G3473" t="n">
        <v>6.7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43164-2021</t>
        </is>
      </c>
      <c r="B3474" s="1" t="n">
        <v>44431</v>
      </c>
      <c r="C3474" s="1" t="n">
        <v>45192</v>
      </c>
      <c r="D3474" t="inlineStr">
        <is>
          <t>ÖSTERGÖTLANDS LÄN</t>
        </is>
      </c>
      <c r="E3474" t="inlineStr">
        <is>
          <t>FINSPÅNG</t>
        </is>
      </c>
      <c r="G3474" t="n">
        <v>3.1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43459-2021</t>
        </is>
      </c>
      <c r="B3475" s="1" t="n">
        <v>44432</v>
      </c>
      <c r="C3475" s="1" t="n">
        <v>45192</v>
      </c>
      <c r="D3475" t="inlineStr">
        <is>
          <t>ÖSTERGÖTLANDS LÄN</t>
        </is>
      </c>
      <c r="E3475" t="inlineStr">
        <is>
          <t>NORRKÖPING</t>
        </is>
      </c>
      <c r="F3475" t="inlineStr">
        <is>
          <t>Holmen skog AB</t>
        </is>
      </c>
      <c r="G3475" t="n">
        <v>1.2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43270-2021</t>
        </is>
      </c>
      <c r="B3476" s="1" t="n">
        <v>44432</v>
      </c>
      <c r="C3476" s="1" t="n">
        <v>45192</v>
      </c>
      <c r="D3476" t="inlineStr">
        <is>
          <t>ÖSTERGÖTLANDS LÄN</t>
        </is>
      </c>
      <c r="E3476" t="inlineStr">
        <is>
          <t>NORRKÖPING</t>
        </is>
      </c>
      <c r="G3476" t="n">
        <v>1.8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43502-2021</t>
        </is>
      </c>
      <c r="B3477" s="1" t="n">
        <v>44433</v>
      </c>
      <c r="C3477" s="1" t="n">
        <v>45192</v>
      </c>
      <c r="D3477" t="inlineStr">
        <is>
          <t>ÖSTERGÖTLANDS LÄN</t>
        </is>
      </c>
      <c r="E3477" t="inlineStr">
        <is>
          <t>NORRKÖPING</t>
        </is>
      </c>
      <c r="G3477" t="n">
        <v>2.3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43510-2021</t>
        </is>
      </c>
      <c r="B3478" s="1" t="n">
        <v>44433</v>
      </c>
      <c r="C3478" s="1" t="n">
        <v>45192</v>
      </c>
      <c r="D3478" t="inlineStr">
        <is>
          <t>ÖSTERGÖTLANDS LÄN</t>
        </is>
      </c>
      <c r="E3478" t="inlineStr">
        <is>
          <t>ÅTVIDABERG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43744-2021</t>
        </is>
      </c>
      <c r="B3479" s="1" t="n">
        <v>44433</v>
      </c>
      <c r="C3479" s="1" t="n">
        <v>45192</v>
      </c>
      <c r="D3479" t="inlineStr">
        <is>
          <t>ÖSTERGÖTLANDS LÄN</t>
        </is>
      </c>
      <c r="E3479" t="inlineStr">
        <is>
          <t>FINSPÅNG</t>
        </is>
      </c>
      <c r="G3479" t="n">
        <v>1.5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43504-2021</t>
        </is>
      </c>
      <c r="B3480" s="1" t="n">
        <v>44433</v>
      </c>
      <c r="C3480" s="1" t="n">
        <v>45192</v>
      </c>
      <c r="D3480" t="inlineStr">
        <is>
          <t>ÖSTERGÖTLANDS LÄN</t>
        </is>
      </c>
      <c r="E3480" t="inlineStr">
        <is>
          <t>LINKÖPING</t>
        </is>
      </c>
      <c r="G3480" t="n">
        <v>2.3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43627-2021</t>
        </is>
      </c>
      <c r="B3481" s="1" t="n">
        <v>44433</v>
      </c>
      <c r="C3481" s="1" t="n">
        <v>45192</v>
      </c>
      <c r="D3481" t="inlineStr">
        <is>
          <t>ÖSTERGÖTLANDS LÄN</t>
        </is>
      </c>
      <c r="E3481" t="inlineStr">
        <is>
          <t>LINKÖPING</t>
        </is>
      </c>
      <c r="G3481" t="n">
        <v>2.1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43695-2021</t>
        </is>
      </c>
      <c r="B3482" s="1" t="n">
        <v>44433</v>
      </c>
      <c r="C3482" s="1" t="n">
        <v>45192</v>
      </c>
      <c r="D3482" t="inlineStr">
        <is>
          <t>ÖSTERGÖTLANDS LÄN</t>
        </is>
      </c>
      <c r="E3482" t="inlineStr">
        <is>
          <t>MOTALA</t>
        </is>
      </c>
      <c r="G3482" t="n">
        <v>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43773-2021</t>
        </is>
      </c>
      <c r="B3483" s="1" t="n">
        <v>44433</v>
      </c>
      <c r="C3483" s="1" t="n">
        <v>45192</v>
      </c>
      <c r="D3483" t="inlineStr">
        <is>
          <t>ÖSTERGÖTLANDS LÄN</t>
        </is>
      </c>
      <c r="E3483" t="inlineStr">
        <is>
          <t>NORRKÖPING</t>
        </is>
      </c>
      <c r="F3483" t="inlineStr">
        <is>
          <t>Holmen skog AB</t>
        </is>
      </c>
      <c r="G3483" t="n">
        <v>2.5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43508-2021</t>
        </is>
      </c>
      <c r="B3484" s="1" t="n">
        <v>44433</v>
      </c>
      <c r="C3484" s="1" t="n">
        <v>45192</v>
      </c>
      <c r="D3484" t="inlineStr">
        <is>
          <t>ÖSTERGÖTLANDS LÄN</t>
        </is>
      </c>
      <c r="E3484" t="inlineStr">
        <is>
          <t>KINDA</t>
        </is>
      </c>
      <c r="G3484" t="n">
        <v>1.6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43628-2021</t>
        </is>
      </c>
      <c r="B3485" s="1" t="n">
        <v>44433</v>
      </c>
      <c r="C3485" s="1" t="n">
        <v>45192</v>
      </c>
      <c r="D3485" t="inlineStr">
        <is>
          <t>ÖSTERGÖTLANDS LÄN</t>
        </is>
      </c>
      <c r="E3485" t="inlineStr">
        <is>
          <t>KINDA</t>
        </is>
      </c>
      <c r="G3485" t="n">
        <v>13.6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43559-2021</t>
        </is>
      </c>
      <c r="B3486" s="1" t="n">
        <v>44433</v>
      </c>
      <c r="C3486" s="1" t="n">
        <v>45192</v>
      </c>
      <c r="D3486" t="inlineStr">
        <is>
          <t>ÖSTERGÖTLANDS LÄN</t>
        </is>
      </c>
      <c r="E3486" t="inlineStr">
        <is>
          <t>NORRKÖPING</t>
        </is>
      </c>
      <c r="G3486" t="n">
        <v>11.1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43905-2021</t>
        </is>
      </c>
      <c r="B3487" s="1" t="n">
        <v>44434</v>
      </c>
      <c r="C3487" s="1" t="n">
        <v>45192</v>
      </c>
      <c r="D3487" t="inlineStr">
        <is>
          <t>ÖSTERGÖTLANDS LÄN</t>
        </is>
      </c>
      <c r="E3487" t="inlineStr">
        <is>
          <t>MOTALA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44060-2021</t>
        </is>
      </c>
      <c r="B3488" s="1" t="n">
        <v>44434</v>
      </c>
      <c r="C3488" s="1" t="n">
        <v>45192</v>
      </c>
      <c r="D3488" t="inlineStr">
        <is>
          <t>ÖSTERGÖTLANDS LÄN</t>
        </is>
      </c>
      <c r="E3488" t="inlineStr">
        <is>
          <t>VALDEMARSVIK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44083-2021</t>
        </is>
      </c>
      <c r="B3489" s="1" t="n">
        <v>44434</v>
      </c>
      <c r="C3489" s="1" t="n">
        <v>45192</v>
      </c>
      <c r="D3489" t="inlineStr">
        <is>
          <t>ÖSTERGÖTLANDS LÄN</t>
        </is>
      </c>
      <c r="E3489" t="inlineStr">
        <is>
          <t>ÅTVIDABERG</t>
        </is>
      </c>
      <c r="G3489" t="n">
        <v>4.2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43908-2021</t>
        </is>
      </c>
      <c r="B3490" s="1" t="n">
        <v>44434</v>
      </c>
      <c r="C3490" s="1" t="n">
        <v>45192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Kyrkan</t>
        </is>
      </c>
      <c r="G3490" t="n">
        <v>1.4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43858-2021</t>
        </is>
      </c>
      <c r="B3491" s="1" t="n">
        <v>44434</v>
      </c>
      <c r="C3491" s="1" t="n">
        <v>45192</v>
      </c>
      <c r="D3491" t="inlineStr">
        <is>
          <t>ÖSTERGÖTLANDS LÄN</t>
        </is>
      </c>
      <c r="E3491" t="inlineStr">
        <is>
          <t>FINSPÅNG</t>
        </is>
      </c>
      <c r="F3491" t="inlineStr">
        <is>
          <t>Övriga Aktiebolag</t>
        </is>
      </c>
      <c r="G3491" t="n">
        <v>12.2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44203-2021</t>
        </is>
      </c>
      <c r="B3492" s="1" t="n">
        <v>44434</v>
      </c>
      <c r="C3492" s="1" t="n">
        <v>45192</v>
      </c>
      <c r="D3492" t="inlineStr">
        <is>
          <t>ÖSTERGÖTLANDS LÄN</t>
        </is>
      </c>
      <c r="E3492" t="inlineStr">
        <is>
          <t>KINDA</t>
        </is>
      </c>
      <c r="F3492" t="inlineStr">
        <is>
          <t>Allmännings- och besparingsskogar</t>
        </is>
      </c>
      <c r="G3492" t="n">
        <v>12.7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44054-2021</t>
        </is>
      </c>
      <c r="B3493" s="1" t="n">
        <v>44434</v>
      </c>
      <c r="C3493" s="1" t="n">
        <v>45192</v>
      </c>
      <c r="D3493" t="inlineStr">
        <is>
          <t>ÖSTERGÖTLANDS LÄN</t>
        </is>
      </c>
      <c r="E3493" t="inlineStr">
        <is>
          <t>LINKÖPING</t>
        </is>
      </c>
      <c r="F3493" t="inlineStr">
        <is>
          <t>Övriga Aktiebolag</t>
        </is>
      </c>
      <c r="G3493" t="n">
        <v>2.3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44109-2021</t>
        </is>
      </c>
      <c r="B3494" s="1" t="n">
        <v>44434</v>
      </c>
      <c r="C3494" s="1" t="n">
        <v>45192</v>
      </c>
      <c r="D3494" t="inlineStr">
        <is>
          <t>ÖSTERGÖTLANDS LÄN</t>
        </is>
      </c>
      <c r="E3494" t="inlineStr">
        <is>
          <t>FINSPÅNG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44129-2021</t>
        </is>
      </c>
      <c r="B3495" s="1" t="n">
        <v>44434</v>
      </c>
      <c r="C3495" s="1" t="n">
        <v>45192</v>
      </c>
      <c r="D3495" t="inlineStr">
        <is>
          <t>ÖSTERGÖTLANDS LÄN</t>
        </is>
      </c>
      <c r="E3495" t="inlineStr">
        <is>
          <t>ÅTVIDABERG</t>
        </is>
      </c>
      <c r="G3495" t="n">
        <v>0.4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44611-2021</t>
        </is>
      </c>
      <c r="B3496" s="1" t="n">
        <v>44435</v>
      </c>
      <c r="C3496" s="1" t="n">
        <v>45192</v>
      </c>
      <c r="D3496" t="inlineStr">
        <is>
          <t>ÖSTERGÖTLANDS LÄN</t>
        </is>
      </c>
      <c r="E3496" t="inlineStr">
        <is>
          <t>FINSPÅNG</t>
        </is>
      </c>
      <c r="G3496" t="n">
        <v>0.6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44468-2021</t>
        </is>
      </c>
      <c r="B3497" s="1" t="n">
        <v>44435</v>
      </c>
      <c r="C3497" s="1" t="n">
        <v>45192</v>
      </c>
      <c r="D3497" t="inlineStr">
        <is>
          <t>ÖSTERGÖTLANDS LÄN</t>
        </is>
      </c>
      <c r="E3497" t="inlineStr">
        <is>
          <t>MJÖLBY</t>
        </is>
      </c>
      <c r="F3497" t="inlineStr">
        <is>
          <t>Kommuner</t>
        </is>
      </c>
      <c r="G3497" t="n">
        <v>3.5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44543-2021</t>
        </is>
      </c>
      <c r="B3498" s="1" t="n">
        <v>44435</v>
      </c>
      <c r="C3498" s="1" t="n">
        <v>45192</v>
      </c>
      <c r="D3498" t="inlineStr">
        <is>
          <t>ÖSTERGÖTLANDS LÄN</t>
        </is>
      </c>
      <c r="E3498" t="inlineStr">
        <is>
          <t>KINDA</t>
        </is>
      </c>
      <c r="G3498" t="n">
        <v>10.2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44661-2021</t>
        </is>
      </c>
      <c r="B3499" s="1" t="n">
        <v>44438</v>
      </c>
      <c r="C3499" s="1" t="n">
        <v>45192</v>
      </c>
      <c r="D3499" t="inlineStr">
        <is>
          <t>ÖSTERGÖTLANDS LÄN</t>
        </is>
      </c>
      <c r="E3499" t="inlineStr">
        <is>
          <t>FINSPÅNG</t>
        </is>
      </c>
      <c r="G3499" t="n">
        <v>0.5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44936-2021</t>
        </is>
      </c>
      <c r="B3500" s="1" t="n">
        <v>44438</v>
      </c>
      <c r="C3500" s="1" t="n">
        <v>45192</v>
      </c>
      <c r="D3500" t="inlineStr">
        <is>
          <t>ÖSTERGÖTLANDS LÄN</t>
        </is>
      </c>
      <c r="E3500" t="inlineStr">
        <is>
          <t>NORRKÖPING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45099-2021</t>
        </is>
      </c>
      <c r="B3501" s="1" t="n">
        <v>44438</v>
      </c>
      <c r="C3501" s="1" t="n">
        <v>45192</v>
      </c>
      <c r="D3501" t="inlineStr">
        <is>
          <t>ÖSTERGÖTLANDS LÄN</t>
        </is>
      </c>
      <c r="E3501" t="inlineStr">
        <is>
          <t>FINSPÅNG</t>
        </is>
      </c>
      <c r="G3501" t="n">
        <v>2.2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44663-2021</t>
        </is>
      </c>
      <c r="B3502" s="1" t="n">
        <v>44438</v>
      </c>
      <c r="C3502" s="1" t="n">
        <v>45192</v>
      </c>
      <c r="D3502" t="inlineStr">
        <is>
          <t>ÖSTERGÖTLANDS LÄN</t>
        </is>
      </c>
      <c r="E3502" t="inlineStr">
        <is>
          <t>FINSPÅNG</t>
        </is>
      </c>
      <c r="G3502" t="n">
        <v>0.6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44937-2021</t>
        </is>
      </c>
      <c r="B3503" s="1" t="n">
        <v>44438</v>
      </c>
      <c r="C3503" s="1" t="n">
        <v>45192</v>
      </c>
      <c r="D3503" t="inlineStr">
        <is>
          <t>ÖSTERGÖTLANDS LÄN</t>
        </is>
      </c>
      <c r="E3503" t="inlineStr">
        <is>
          <t>NORRKÖPING</t>
        </is>
      </c>
      <c r="G3503" t="n">
        <v>2.5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44665-2021</t>
        </is>
      </c>
      <c r="B3504" s="1" t="n">
        <v>44438</v>
      </c>
      <c r="C3504" s="1" t="n">
        <v>45192</v>
      </c>
      <c r="D3504" t="inlineStr">
        <is>
          <t>ÖSTERGÖTLANDS LÄN</t>
        </is>
      </c>
      <c r="E3504" t="inlineStr">
        <is>
          <t>FINSPÅNG</t>
        </is>
      </c>
      <c r="G3504" t="n">
        <v>0.5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44856-2021</t>
        </is>
      </c>
      <c r="B3505" s="1" t="n">
        <v>44438</v>
      </c>
      <c r="C3505" s="1" t="n">
        <v>45192</v>
      </c>
      <c r="D3505" t="inlineStr">
        <is>
          <t>ÖSTERGÖTLANDS LÄN</t>
        </is>
      </c>
      <c r="E3505" t="inlineStr">
        <is>
          <t>YDRE</t>
        </is>
      </c>
      <c r="G3505" t="n">
        <v>1.4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44859-2021</t>
        </is>
      </c>
      <c r="B3506" s="1" t="n">
        <v>44438</v>
      </c>
      <c r="C3506" s="1" t="n">
        <v>45192</v>
      </c>
      <c r="D3506" t="inlineStr">
        <is>
          <t>ÖSTERGÖTLANDS LÄN</t>
        </is>
      </c>
      <c r="E3506" t="inlineStr">
        <is>
          <t>YDRE</t>
        </is>
      </c>
      <c r="G3506" t="n">
        <v>2.7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45194-2021</t>
        </is>
      </c>
      <c r="B3507" s="1" t="n">
        <v>44439</v>
      </c>
      <c r="C3507" s="1" t="n">
        <v>45192</v>
      </c>
      <c r="D3507" t="inlineStr">
        <is>
          <t>ÖSTERGÖTLANDS LÄN</t>
        </is>
      </c>
      <c r="E3507" t="inlineStr">
        <is>
          <t>YDRE</t>
        </is>
      </c>
      <c r="G3507" t="n">
        <v>2.9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45100-2021</t>
        </is>
      </c>
      <c r="B3508" s="1" t="n">
        <v>44439</v>
      </c>
      <c r="C3508" s="1" t="n">
        <v>45192</v>
      </c>
      <c r="D3508" t="inlineStr">
        <is>
          <t>ÖSTERGÖTLANDS LÄN</t>
        </is>
      </c>
      <c r="E3508" t="inlineStr">
        <is>
          <t>ÅTVIDABERG</t>
        </is>
      </c>
      <c r="G3508" t="n">
        <v>2.1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45067-2021</t>
        </is>
      </c>
      <c r="B3509" s="1" t="n">
        <v>44439</v>
      </c>
      <c r="C3509" s="1" t="n">
        <v>45192</v>
      </c>
      <c r="D3509" t="inlineStr">
        <is>
          <t>ÖSTERGÖTLANDS LÄN</t>
        </is>
      </c>
      <c r="E3509" t="inlineStr">
        <is>
          <t>ÅTVIDABERG</t>
        </is>
      </c>
      <c r="G3509" t="n">
        <v>2.6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45170-2021</t>
        </is>
      </c>
      <c r="B3510" s="1" t="n">
        <v>44439</v>
      </c>
      <c r="C3510" s="1" t="n">
        <v>45192</v>
      </c>
      <c r="D3510" t="inlineStr">
        <is>
          <t>ÖSTERGÖTLANDS LÄN</t>
        </is>
      </c>
      <c r="E3510" t="inlineStr">
        <is>
          <t>KINDA</t>
        </is>
      </c>
      <c r="G3510" t="n">
        <v>0.7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45381-2021</t>
        </is>
      </c>
      <c r="B3511" s="1" t="n">
        <v>44440</v>
      </c>
      <c r="C3511" s="1" t="n">
        <v>45192</v>
      </c>
      <c r="D3511" t="inlineStr">
        <is>
          <t>ÖSTERGÖTLANDS LÄN</t>
        </is>
      </c>
      <c r="E3511" t="inlineStr">
        <is>
          <t>NORRKÖPING</t>
        </is>
      </c>
      <c r="G3511" t="n">
        <v>5.1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45731-2021</t>
        </is>
      </c>
      <c r="B3512" s="1" t="n">
        <v>44441</v>
      </c>
      <c r="C3512" s="1" t="n">
        <v>45192</v>
      </c>
      <c r="D3512" t="inlineStr">
        <is>
          <t>ÖSTERGÖTLANDS LÄN</t>
        </is>
      </c>
      <c r="E3512" t="inlineStr">
        <is>
          <t>LINKÖPING</t>
        </is>
      </c>
      <c r="F3512" t="inlineStr">
        <is>
          <t>Sveaskog</t>
        </is>
      </c>
      <c r="G3512" t="n">
        <v>4.7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45945-2021</t>
        </is>
      </c>
      <c r="B3513" s="1" t="n">
        <v>44441</v>
      </c>
      <c r="C3513" s="1" t="n">
        <v>45192</v>
      </c>
      <c r="D3513" t="inlineStr">
        <is>
          <t>ÖSTERGÖTLANDS LÄN</t>
        </is>
      </c>
      <c r="E3513" t="inlineStr">
        <is>
          <t>FINSPÅNG</t>
        </is>
      </c>
      <c r="G3513" t="n">
        <v>5.5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45761-2021</t>
        </is>
      </c>
      <c r="B3514" s="1" t="n">
        <v>44441</v>
      </c>
      <c r="C3514" s="1" t="n">
        <v>45192</v>
      </c>
      <c r="D3514" t="inlineStr">
        <is>
          <t>ÖSTERGÖTLANDS LÄN</t>
        </is>
      </c>
      <c r="E3514" t="inlineStr">
        <is>
          <t>FINSPÅNG</t>
        </is>
      </c>
      <c r="G3514" t="n">
        <v>3.5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45956-2021</t>
        </is>
      </c>
      <c r="B3515" s="1" t="n">
        <v>44441</v>
      </c>
      <c r="C3515" s="1" t="n">
        <v>45192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1.4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45947-2021</t>
        </is>
      </c>
      <c r="B3516" s="1" t="n">
        <v>44441</v>
      </c>
      <c r="C3516" s="1" t="n">
        <v>45192</v>
      </c>
      <c r="D3516" t="inlineStr">
        <is>
          <t>ÖSTERGÖTLANDS LÄN</t>
        </is>
      </c>
      <c r="E3516" t="inlineStr">
        <is>
          <t>NORRKÖPING</t>
        </is>
      </c>
      <c r="F3516" t="inlineStr">
        <is>
          <t>Holmen skog AB</t>
        </is>
      </c>
      <c r="G3516" t="n">
        <v>1.7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46225-2021</t>
        </is>
      </c>
      <c r="B3517" s="1" t="n">
        <v>44442</v>
      </c>
      <c r="C3517" s="1" t="n">
        <v>45192</v>
      </c>
      <c r="D3517" t="inlineStr">
        <is>
          <t>ÖSTERGÖTLANDS LÄN</t>
        </is>
      </c>
      <c r="E3517" t="inlineStr">
        <is>
          <t>LINKÖPING</t>
        </is>
      </c>
      <c r="G3517" t="n">
        <v>2.9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46416-2021</t>
        </is>
      </c>
      <c r="B3518" s="1" t="n">
        <v>44442</v>
      </c>
      <c r="C3518" s="1" t="n">
        <v>45192</v>
      </c>
      <c r="D3518" t="inlineStr">
        <is>
          <t>ÖSTERGÖTLANDS LÄN</t>
        </is>
      </c>
      <c r="E3518" t="inlineStr">
        <is>
          <t>LINKÖPING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46240-2021</t>
        </is>
      </c>
      <c r="B3519" s="1" t="n">
        <v>44442</v>
      </c>
      <c r="C3519" s="1" t="n">
        <v>45192</v>
      </c>
      <c r="D3519" t="inlineStr">
        <is>
          <t>ÖSTERGÖTLANDS LÄN</t>
        </is>
      </c>
      <c r="E3519" t="inlineStr">
        <is>
          <t>MJÖLBY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46405-2021</t>
        </is>
      </c>
      <c r="B3520" s="1" t="n">
        <v>44444</v>
      </c>
      <c r="C3520" s="1" t="n">
        <v>45192</v>
      </c>
      <c r="D3520" t="inlineStr">
        <is>
          <t>ÖSTERGÖTLANDS LÄN</t>
        </is>
      </c>
      <c r="E3520" t="inlineStr">
        <is>
          <t>FINSPÅNG</t>
        </is>
      </c>
      <c r="G3520" t="n">
        <v>1.6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46675-2021</t>
        </is>
      </c>
      <c r="B3521" s="1" t="n">
        <v>44445</v>
      </c>
      <c r="C3521" s="1" t="n">
        <v>45192</v>
      </c>
      <c r="D3521" t="inlineStr">
        <is>
          <t>ÖSTERGÖTLANDS LÄN</t>
        </is>
      </c>
      <c r="E3521" t="inlineStr">
        <is>
          <t>MOTALA</t>
        </is>
      </c>
      <c r="F3521" t="inlineStr">
        <is>
          <t>Övriga statliga verk och myndigheter</t>
        </is>
      </c>
      <c r="G3521" t="n">
        <v>1.7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46706-2021</t>
        </is>
      </c>
      <c r="B3522" s="1" t="n">
        <v>44445</v>
      </c>
      <c r="C3522" s="1" t="n">
        <v>45192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3.1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46730-2021</t>
        </is>
      </c>
      <c r="B3523" s="1" t="n">
        <v>44445</v>
      </c>
      <c r="C3523" s="1" t="n">
        <v>45192</v>
      </c>
      <c r="D3523" t="inlineStr">
        <is>
          <t>ÖSTERGÖTLANDS LÄN</t>
        </is>
      </c>
      <c r="E3523" t="inlineStr">
        <is>
          <t>LINKÖPING</t>
        </is>
      </c>
      <c r="F3523" t="inlineStr">
        <is>
          <t>Övriga statliga verk och myndigheter</t>
        </is>
      </c>
      <c r="G3523" t="n">
        <v>1.1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46672-2021</t>
        </is>
      </c>
      <c r="B3524" s="1" t="n">
        <v>44445</v>
      </c>
      <c r="C3524" s="1" t="n">
        <v>45192</v>
      </c>
      <c r="D3524" t="inlineStr">
        <is>
          <t>ÖSTERGÖTLANDS LÄN</t>
        </is>
      </c>
      <c r="E3524" t="inlineStr">
        <is>
          <t>MOTALA</t>
        </is>
      </c>
      <c r="F3524" t="inlineStr">
        <is>
          <t>Övriga statliga verk och myndigheter</t>
        </is>
      </c>
      <c r="G3524" t="n">
        <v>1.7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46686-2021</t>
        </is>
      </c>
      <c r="B3525" s="1" t="n">
        <v>44445</v>
      </c>
      <c r="C3525" s="1" t="n">
        <v>45192</v>
      </c>
      <c r="D3525" t="inlineStr">
        <is>
          <t>ÖSTERGÖTLANDS LÄN</t>
        </is>
      </c>
      <c r="E3525" t="inlineStr">
        <is>
          <t>KINDA</t>
        </is>
      </c>
      <c r="G3525" t="n">
        <v>1.1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46580-2021</t>
        </is>
      </c>
      <c r="B3526" s="1" t="n">
        <v>44445</v>
      </c>
      <c r="C3526" s="1" t="n">
        <v>45192</v>
      </c>
      <c r="D3526" t="inlineStr">
        <is>
          <t>ÖSTERGÖTLANDS LÄN</t>
        </is>
      </c>
      <c r="E3526" t="inlineStr">
        <is>
          <t>NORRKÖPING</t>
        </is>
      </c>
      <c r="F3526" t="inlineStr">
        <is>
          <t>Holmen skog AB</t>
        </is>
      </c>
      <c r="G3526" t="n">
        <v>2.2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46681-2021</t>
        </is>
      </c>
      <c r="B3527" s="1" t="n">
        <v>44445</v>
      </c>
      <c r="C3527" s="1" t="n">
        <v>45192</v>
      </c>
      <c r="D3527" t="inlineStr">
        <is>
          <t>ÖSTERGÖTLANDS LÄN</t>
        </is>
      </c>
      <c r="E3527" t="inlineStr">
        <is>
          <t>MOTALA</t>
        </is>
      </c>
      <c r="F3527" t="inlineStr">
        <is>
          <t>Övriga statliga verk och myndigheter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46727-2021</t>
        </is>
      </c>
      <c r="B3528" s="1" t="n">
        <v>44445</v>
      </c>
      <c r="C3528" s="1" t="n">
        <v>45192</v>
      </c>
      <c r="D3528" t="inlineStr">
        <is>
          <t>ÖSTERGÖTLANDS LÄN</t>
        </is>
      </c>
      <c r="E3528" t="inlineStr">
        <is>
          <t>LINKÖPING</t>
        </is>
      </c>
      <c r="F3528" t="inlineStr">
        <is>
          <t>Övriga statliga verk och myndigheter</t>
        </is>
      </c>
      <c r="G3528" t="n">
        <v>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47016-2021</t>
        </is>
      </c>
      <c r="B3529" s="1" t="n">
        <v>44446</v>
      </c>
      <c r="C3529" s="1" t="n">
        <v>45192</v>
      </c>
      <c r="D3529" t="inlineStr">
        <is>
          <t>ÖSTERGÖTLANDS LÄN</t>
        </is>
      </c>
      <c r="E3529" t="inlineStr">
        <is>
          <t>KINDA</t>
        </is>
      </c>
      <c r="G3529" t="n">
        <v>2.3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47000-2021</t>
        </is>
      </c>
      <c r="B3530" s="1" t="n">
        <v>44446</v>
      </c>
      <c r="C3530" s="1" t="n">
        <v>45192</v>
      </c>
      <c r="D3530" t="inlineStr">
        <is>
          <t>ÖSTERGÖTLANDS LÄN</t>
        </is>
      </c>
      <c r="E3530" t="inlineStr">
        <is>
          <t>KINDA</t>
        </is>
      </c>
      <c r="G3530" t="n">
        <v>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46958-2021</t>
        </is>
      </c>
      <c r="B3531" s="1" t="n">
        <v>44446</v>
      </c>
      <c r="C3531" s="1" t="n">
        <v>45192</v>
      </c>
      <c r="D3531" t="inlineStr">
        <is>
          <t>ÖSTERGÖTLANDS LÄN</t>
        </is>
      </c>
      <c r="E3531" t="inlineStr">
        <is>
          <t>MOTALA</t>
        </is>
      </c>
      <c r="G3531" t="n">
        <v>1.6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47125-2021</t>
        </is>
      </c>
      <c r="B3532" s="1" t="n">
        <v>44446</v>
      </c>
      <c r="C3532" s="1" t="n">
        <v>45192</v>
      </c>
      <c r="D3532" t="inlineStr">
        <is>
          <t>ÖSTERGÖTLANDS LÄN</t>
        </is>
      </c>
      <c r="E3532" t="inlineStr">
        <is>
          <t>NORRKÖPING</t>
        </is>
      </c>
      <c r="F3532" t="inlineStr">
        <is>
          <t>Holmen skog AB</t>
        </is>
      </c>
      <c r="G3532" t="n">
        <v>2.5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47368-2021</t>
        </is>
      </c>
      <c r="B3533" s="1" t="n">
        <v>44447</v>
      </c>
      <c r="C3533" s="1" t="n">
        <v>45192</v>
      </c>
      <c r="D3533" t="inlineStr">
        <is>
          <t>ÖSTERGÖTLANDS LÄN</t>
        </is>
      </c>
      <c r="E3533" t="inlineStr">
        <is>
          <t>SÖDERKÖPING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47265-2021</t>
        </is>
      </c>
      <c r="B3534" s="1" t="n">
        <v>44447</v>
      </c>
      <c r="C3534" s="1" t="n">
        <v>45192</v>
      </c>
      <c r="D3534" t="inlineStr">
        <is>
          <t>ÖSTERGÖTLANDS LÄN</t>
        </is>
      </c>
      <c r="E3534" t="inlineStr">
        <is>
          <t>LINKÖPING</t>
        </is>
      </c>
      <c r="F3534" t="inlineStr">
        <is>
          <t>Övriga Aktiebolag</t>
        </is>
      </c>
      <c r="G3534" t="n">
        <v>3.4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47323-2021</t>
        </is>
      </c>
      <c r="B3535" s="1" t="n">
        <v>44447</v>
      </c>
      <c r="C3535" s="1" t="n">
        <v>45192</v>
      </c>
      <c r="D3535" t="inlineStr">
        <is>
          <t>ÖSTERGÖTLANDS LÄN</t>
        </is>
      </c>
      <c r="E3535" t="inlineStr">
        <is>
          <t>ÅTVIDABERG</t>
        </is>
      </c>
      <c r="G3535" t="n">
        <v>7.2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47467-2021</t>
        </is>
      </c>
      <c r="B3536" s="1" t="n">
        <v>44447</v>
      </c>
      <c r="C3536" s="1" t="n">
        <v>45192</v>
      </c>
      <c r="D3536" t="inlineStr">
        <is>
          <t>ÖSTERGÖTLANDS LÄN</t>
        </is>
      </c>
      <c r="E3536" t="inlineStr">
        <is>
          <t>YDRE</t>
        </is>
      </c>
      <c r="F3536" t="inlineStr">
        <is>
          <t>Sveaskog</t>
        </is>
      </c>
      <c r="G3536" t="n">
        <v>1.8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47252-2021</t>
        </is>
      </c>
      <c r="B3537" s="1" t="n">
        <v>44447</v>
      </c>
      <c r="C3537" s="1" t="n">
        <v>45192</v>
      </c>
      <c r="D3537" t="inlineStr">
        <is>
          <t>ÖSTERGÖTLANDS LÄN</t>
        </is>
      </c>
      <c r="E3537" t="inlineStr">
        <is>
          <t>NORRKÖPING</t>
        </is>
      </c>
      <c r="G3537" t="n">
        <v>6.4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47364-2021</t>
        </is>
      </c>
      <c r="B3538" s="1" t="n">
        <v>44447</v>
      </c>
      <c r="C3538" s="1" t="n">
        <v>45192</v>
      </c>
      <c r="D3538" t="inlineStr">
        <is>
          <t>ÖSTERGÖTLANDS LÄN</t>
        </is>
      </c>
      <c r="E3538" t="inlineStr">
        <is>
          <t>SÖDERKÖPING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47579-2021</t>
        </is>
      </c>
      <c r="B3539" s="1" t="n">
        <v>44447</v>
      </c>
      <c r="C3539" s="1" t="n">
        <v>45192</v>
      </c>
      <c r="D3539" t="inlineStr">
        <is>
          <t>ÖSTERGÖTLANDS LÄN</t>
        </is>
      </c>
      <c r="E3539" t="inlineStr">
        <is>
          <t>KINDA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47257-2021</t>
        </is>
      </c>
      <c r="B3540" s="1" t="n">
        <v>44447</v>
      </c>
      <c r="C3540" s="1" t="n">
        <v>45192</v>
      </c>
      <c r="D3540" t="inlineStr">
        <is>
          <t>ÖSTERGÖTLANDS LÄN</t>
        </is>
      </c>
      <c r="E3540" t="inlineStr">
        <is>
          <t>NORRKÖPING</t>
        </is>
      </c>
      <c r="G3540" t="n">
        <v>2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47330-2021</t>
        </is>
      </c>
      <c r="B3541" s="1" t="n">
        <v>44447</v>
      </c>
      <c r="C3541" s="1" t="n">
        <v>45192</v>
      </c>
      <c r="D3541" t="inlineStr">
        <is>
          <t>ÖSTERGÖTLANDS LÄN</t>
        </is>
      </c>
      <c r="E3541" t="inlineStr">
        <is>
          <t>ÅTVIDABERG</t>
        </is>
      </c>
      <c r="G3541" t="n">
        <v>1.6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47377-2021</t>
        </is>
      </c>
      <c r="B3542" s="1" t="n">
        <v>44447</v>
      </c>
      <c r="C3542" s="1" t="n">
        <v>45192</v>
      </c>
      <c r="D3542" t="inlineStr">
        <is>
          <t>ÖSTERGÖTLANDS LÄN</t>
        </is>
      </c>
      <c r="E3542" t="inlineStr">
        <is>
          <t>SÖDERKÖPING</t>
        </is>
      </c>
      <c r="G3542" t="n">
        <v>2.4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47459-2021</t>
        </is>
      </c>
      <c r="B3543" s="1" t="n">
        <v>44447</v>
      </c>
      <c r="C3543" s="1" t="n">
        <v>45192</v>
      </c>
      <c r="D3543" t="inlineStr">
        <is>
          <t>ÖSTERGÖTLANDS LÄN</t>
        </is>
      </c>
      <c r="E3543" t="inlineStr">
        <is>
          <t>YDRE</t>
        </is>
      </c>
      <c r="F3543" t="inlineStr">
        <is>
          <t>Sveaskog</t>
        </is>
      </c>
      <c r="G3543" t="n">
        <v>2.5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47836-2021</t>
        </is>
      </c>
      <c r="B3544" s="1" t="n">
        <v>44448</v>
      </c>
      <c r="C3544" s="1" t="n">
        <v>45192</v>
      </c>
      <c r="D3544" t="inlineStr">
        <is>
          <t>ÖSTERGÖTLANDS LÄN</t>
        </is>
      </c>
      <c r="E3544" t="inlineStr">
        <is>
          <t>FINSPÅNG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47875-2021</t>
        </is>
      </c>
      <c r="B3545" s="1" t="n">
        <v>44448</v>
      </c>
      <c r="C3545" s="1" t="n">
        <v>45192</v>
      </c>
      <c r="D3545" t="inlineStr">
        <is>
          <t>ÖSTERGÖTLANDS LÄN</t>
        </is>
      </c>
      <c r="E3545" t="inlineStr">
        <is>
          <t>MOTALA</t>
        </is>
      </c>
      <c r="G3545" t="n">
        <v>1.9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47729-2021</t>
        </is>
      </c>
      <c r="B3546" s="1" t="n">
        <v>44448</v>
      </c>
      <c r="C3546" s="1" t="n">
        <v>45192</v>
      </c>
      <c r="D3546" t="inlineStr">
        <is>
          <t>ÖSTERGÖTLANDS LÄN</t>
        </is>
      </c>
      <c r="E3546" t="inlineStr">
        <is>
          <t>ÅTVIDABERG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47895-2021</t>
        </is>
      </c>
      <c r="B3547" s="1" t="n">
        <v>44448</v>
      </c>
      <c r="C3547" s="1" t="n">
        <v>45192</v>
      </c>
      <c r="D3547" t="inlineStr">
        <is>
          <t>ÖSTERGÖTLANDS LÄN</t>
        </is>
      </c>
      <c r="E3547" t="inlineStr">
        <is>
          <t>NORRKÖPING</t>
        </is>
      </c>
      <c r="G3547" t="n">
        <v>3.9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48091-2021</t>
        </is>
      </c>
      <c r="B3548" s="1" t="n">
        <v>44448</v>
      </c>
      <c r="C3548" s="1" t="n">
        <v>45192</v>
      </c>
      <c r="D3548" t="inlineStr">
        <is>
          <t>ÖSTERGÖTLANDS LÄN</t>
        </is>
      </c>
      <c r="E3548" t="inlineStr">
        <is>
          <t>SÖDERKÖPING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47899-2021</t>
        </is>
      </c>
      <c r="B3549" s="1" t="n">
        <v>44448</v>
      </c>
      <c r="C3549" s="1" t="n">
        <v>45192</v>
      </c>
      <c r="D3549" t="inlineStr">
        <is>
          <t>ÖSTERGÖTLANDS LÄN</t>
        </is>
      </c>
      <c r="E3549" t="inlineStr">
        <is>
          <t>NORRKÖPING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48438-2021</t>
        </is>
      </c>
      <c r="B3550" s="1" t="n">
        <v>44449</v>
      </c>
      <c r="C3550" s="1" t="n">
        <v>45192</v>
      </c>
      <c r="D3550" t="inlineStr">
        <is>
          <t>ÖSTERGÖTLANDS LÄN</t>
        </is>
      </c>
      <c r="E3550" t="inlineStr">
        <is>
          <t>MJÖLBY</t>
        </is>
      </c>
      <c r="G3550" t="n">
        <v>6.6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48016-2021</t>
        </is>
      </c>
      <c r="B3551" s="1" t="n">
        <v>44449</v>
      </c>
      <c r="C3551" s="1" t="n">
        <v>45192</v>
      </c>
      <c r="D3551" t="inlineStr">
        <is>
          <t>ÖSTERGÖTLANDS LÄN</t>
        </is>
      </c>
      <c r="E3551" t="inlineStr">
        <is>
          <t>LINKÖPING</t>
        </is>
      </c>
      <c r="G3551" t="n">
        <v>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48230-2021</t>
        </is>
      </c>
      <c r="B3552" s="1" t="n">
        <v>44449</v>
      </c>
      <c r="C3552" s="1" t="n">
        <v>45192</v>
      </c>
      <c r="D3552" t="inlineStr">
        <is>
          <t>ÖSTERGÖTLANDS LÄN</t>
        </is>
      </c>
      <c r="E3552" t="inlineStr">
        <is>
          <t>NORRKÖPING</t>
        </is>
      </c>
      <c r="F3552" t="inlineStr">
        <is>
          <t>Allmännings- och besparingsskogar</t>
        </is>
      </c>
      <c r="G3552" t="n">
        <v>4.3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48291-2021</t>
        </is>
      </c>
      <c r="B3553" s="1" t="n">
        <v>44449</v>
      </c>
      <c r="C3553" s="1" t="n">
        <v>45192</v>
      </c>
      <c r="D3553" t="inlineStr">
        <is>
          <t>ÖSTERGÖTLANDS LÄN</t>
        </is>
      </c>
      <c r="E3553" t="inlineStr">
        <is>
          <t>ÅTVIDABERG</t>
        </is>
      </c>
      <c r="G3553" t="n">
        <v>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48431-2021</t>
        </is>
      </c>
      <c r="B3554" s="1" t="n">
        <v>44449</v>
      </c>
      <c r="C3554" s="1" t="n">
        <v>45192</v>
      </c>
      <c r="D3554" t="inlineStr">
        <is>
          <t>ÖSTERGÖTLANDS LÄN</t>
        </is>
      </c>
      <c r="E3554" t="inlineStr">
        <is>
          <t>MJÖLBY</t>
        </is>
      </c>
      <c r="G3554" t="n">
        <v>2.2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48492-2021</t>
        </is>
      </c>
      <c r="B3555" s="1" t="n">
        <v>44452</v>
      </c>
      <c r="C3555" s="1" t="n">
        <v>45192</v>
      </c>
      <c r="D3555" t="inlineStr">
        <is>
          <t>ÖSTERGÖTLANDS LÄN</t>
        </is>
      </c>
      <c r="E3555" t="inlineStr">
        <is>
          <t>NORRKÖPING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48931-2021</t>
        </is>
      </c>
      <c r="B3556" s="1" t="n">
        <v>44452</v>
      </c>
      <c r="C3556" s="1" t="n">
        <v>45192</v>
      </c>
      <c r="D3556" t="inlineStr">
        <is>
          <t>ÖSTERGÖTLANDS LÄN</t>
        </is>
      </c>
      <c r="E3556" t="inlineStr">
        <is>
          <t>MOTALA</t>
        </is>
      </c>
      <c r="G3556" t="n">
        <v>3.6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48591-2021</t>
        </is>
      </c>
      <c r="B3557" s="1" t="n">
        <v>44452</v>
      </c>
      <c r="C3557" s="1" t="n">
        <v>45192</v>
      </c>
      <c r="D3557" t="inlineStr">
        <is>
          <t>ÖSTERGÖTLANDS LÄN</t>
        </is>
      </c>
      <c r="E3557" t="inlineStr">
        <is>
          <t>NORRKÖPING</t>
        </is>
      </c>
      <c r="F3557" t="inlineStr">
        <is>
          <t>Holmen skog AB</t>
        </is>
      </c>
      <c r="G3557" t="n">
        <v>6.1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48448-2021</t>
        </is>
      </c>
      <c r="B3558" s="1" t="n">
        <v>44452</v>
      </c>
      <c r="C3558" s="1" t="n">
        <v>45192</v>
      </c>
      <c r="D3558" t="inlineStr">
        <is>
          <t>ÖSTERGÖTLANDS LÄN</t>
        </is>
      </c>
      <c r="E3558" t="inlineStr">
        <is>
          <t>KINDA</t>
        </is>
      </c>
      <c r="F3558" t="inlineStr">
        <is>
          <t>Övriga Aktiebolag</t>
        </is>
      </c>
      <c r="G3558" t="n">
        <v>4.1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49021-2021</t>
        </is>
      </c>
      <c r="B3559" s="1" t="n">
        <v>44453</v>
      </c>
      <c r="C3559" s="1" t="n">
        <v>45192</v>
      </c>
      <c r="D3559" t="inlineStr">
        <is>
          <t>ÖSTERGÖTLANDS LÄN</t>
        </is>
      </c>
      <c r="E3559" t="inlineStr">
        <is>
          <t>SÖDERKÖPING</t>
        </is>
      </c>
      <c r="G3559" t="n">
        <v>1.3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49303-2021</t>
        </is>
      </c>
      <c r="B3560" s="1" t="n">
        <v>44454</v>
      </c>
      <c r="C3560" s="1" t="n">
        <v>45192</v>
      </c>
      <c r="D3560" t="inlineStr">
        <is>
          <t>ÖSTERGÖTLANDS LÄN</t>
        </is>
      </c>
      <c r="E3560" t="inlineStr">
        <is>
          <t>VALDEMARSVIK</t>
        </is>
      </c>
      <c r="G3560" t="n">
        <v>1.5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49465-2021</t>
        </is>
      </c>
      <c r="B3561" s="1" t="n">
        <v>44454</v>
      </c>
      <c r="C3561" s="1" t="n">
        <v>45192</v>
      </c>
      <c r="D3561" t="inlineStr">
        <is>
          <t>ÖSTERGÖTLANDS LÄN</t>
        </is>
      </c>
      <c r="E3561" t="inlineStr">
        <is>
          <t>BOXHOLM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49506-2021</t>
        </is>
      </c>
      <c r="B3562" s="1" t="n">
        <v>44454</v>
      </c>
      <c r="C3562" s="1" t="n">
        <v>45192</v>
      </c>
      <c r="D3562" t="inlineStr">
        <is>
          <t>ÖSTERGÖTLANDS LÄN</t>
        </is>
      </c>
      <c r="E3562" t="inlineStr">
        <is>
          <t>YDRE</t>
        </is>
      </c>
      <c r="G3562" t="n">
        <v>1.2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49452-2021</t>
        </is>
      </c>
      <c r="B3563" s="1" t="n">
        <v>44454</v>
      </c>
      <c r="C3563" s="1" t="n">
        <v>45192</v>
      </c>
      <c r="D3563" t="inlineStr">
        <is>
          <t>ÖSTERGÖTLANDS LÄN</t>
        </is>
      </c>
      <c r="E3563" t="inlineStr">
        <is>
          <t>NORRKÖPING</t>
        </is>
      </c>
      <c r="F3563" t="inlineStr">
        <is>
          <t>Allmännings- och besparingsskogar</t>
        </is>
      </c>
      <c r="G3563" t="n">
        <v>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49656-2021</t>
        </is>
      </c>
      <c r="B3564" s="1" t="n">
        <v>44454</v>
      </c>
      <c r="C3564" s="1" t="n">
        <v>45192</v>
      </c>
      <c r="D3564" t="inlineStr">
        <is>
          <t>ÖSTERGÖTLANDS LÄN</t>
        </is>
      </c>
      <c r="E3564" t="inlineStr">
        <is>
          <t>LINKÖPING</t>
        </is>
      </c>
      <c r="G3564" t="n">
        <v>2.3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49176-2021</t>
        </is>
      </c>
      <c r="B3565" s="1" t="n">
        <v>44454</v>
      </c>
      <c r="C3565" s="1" t="n">
        <v>45192</v>
      </c>
      <c r="D3565" t="inlineStr">
        <is>
          <t>ÖSTERGÖTLANDS LÄN</t>
        </is>
      </c>
      <c r="E3565" t="inlineStr">
        <is>
          <t>ÅTVIDABERG</t>
        </is>
      </c>
      <c r="G3565" t="n">
        <v>1.6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49299-2021</t>
        </is>
      </c>
      <c r="B3566" s="1" t="n">
        <v>44454</v>
      </c>
      <c r="C3566" s="1" t="n">
        <v>45192</v>
      </c>
      <c r="D3566" t="inlineStr">
        <is>
          <t>ÖSTERGÖTLANDS LÄN</t>
        </is>
      </c>
      <c r="E3566" t="inlineStr">
        <is>
          <t>VALDEMARSVIK</t>
        </is>
      </c>
      <c r="G3566" t="n">
        <v>3.6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49440-2021</t>
        </is>
      </c>
      <c r="B3567" s="1" t="n">
        <v>44454</v>
      </c>
      <c r="C3567" s="1" t="n">
        <v>45192</v>
      </c>
      <c r="D3567" t="inlineStr">
        <is>
          <t>ÖSTERGÖTLANDS LÄN</t>
        </is>
      </c>
      <c r="E3567" t="inlineStr">
        <is>
          <t>KINDA</t>
        </is>
      </c>
      <c r="G3567" t="n">
        <v>2.9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49566-2021</t>
        </is>
      </c>
      <c r="B3568" s="1" t="n">
        <v>44455</v>
      </c>
      <c r="C3568" s="1" t="n">
        <v>45192</v>
      </c>
      <c r="D3568" t="inlineStr">
        <is>
          <t>ÖSTERGÖTLANDS LÄN</t>
        </is>
      </c>
      <c r="E3568" t="inlineStr">
        <is>
          <t>MJÖLBY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49612-2021</t>
        </is>
      </c>
      <c r="B3569" s="1" t="n">
        <v>44455</v>
      </c>
      <c r="C3569" s="1" t="n">
        <v>45192</v>
      </c>
      <c r="D3569" t="inlineStr">
        <is>
          <t>ÖSTERGÖTLANDS LÄN</t>
        </is>
      </c>
      <c r="E3569" t="inlineStr">
        <is>
          <t>FINSPÅNG</t>
        </is>
      </c>
      <c r="G3569" t="n">
        <v>2.4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49651-2021</t>
        </is>
      </c>
      <c r="B3570" s="1" t="n">
        <v>44455</v>
      </c>
      <c r="C3570" s="1" t="n">
        <v>45192</v>
      </c>
      <c r="D3570" t="inlineStr">
        <is>
          <t>ÖSTERGÖTLANDS LÄN</t>
        </is>
      </c>
      <c r="E3570" t="inlineStr">
        <is>
          <t>MOTALA</t>
        </is>
      </c>
      <c r="G3570" t="n">
        <v>1.2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49895-2021</t>
        </is>
      </c>
      <c r="B3571" s="1" t="n">
        <v>44455</v>
      </c>
      <c r="C3571" s="1" t="n">
        <v>45192</v>
      </c>
      <c r="D3571" t="inlineStr">
        <is>
          <t>ÖSTERGÖTLANDS LÄN</t>
        </is>
      </c>
      <c r="E3571" t="inlineStr">
        <is>
          <t>BOXHOLM</t>
        </is>
      </c>
      <c r="G3571" t="n">
        <v>5.5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49873-2021</t>
        </is>
      </c>
      <c r="B3572" s="1" t="n">
        <v>44455</v>
      </c>
      <c r="C3572" s="1" t="n">
        <v>45192</v>
      </c>
      <c r="D3572" t="inlineStr">
        <is>
          <t>ÖSTERGÖTLANDS LÄN</t>
        </is>
      </c>
      <c r="E3572" t="inlineStr">
        <is>
          <t>NORRKÖPING</t>
        </is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49627-2021</t>
        </is>
      </c>
      <c r="B3573" s="1" t="n">
        <v>44455</v>
      </c>
      <c r="C3573" s="1" t="n">
        <v>45192</v>
      </c>
      <c r="D3573" t="inlineStr">
        <is>
          <t>ÖSTERGÖTLANDS LÄN</t>
        </is>
      </c>
      <c r="E3573" t="inlineStr">
        <is>
          <t>MOTALA</t>
        </is>
      </c>
      <c r="G3573" t="n">
        <v>14.2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49646-2021</t>
        </is>
      </c>
      <c r="B3574" s="1" t="n">
        <v>44455</v>
      </c>
      <c r="C3574" s="1" t="n">
        <v>45192</v>
      </c>
      <c r="D3574" t="inlineStr">
        <is>
          <t>ÖSTERGÖTLANDS LÄN</t>
        </is>
      </c>
      <c r="E3574" t="inlineStr">
        <is>
          <t>MOTALA</t>
        </is>
      </c>
      <c r="G3574" t="n">
        <v>4.5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49831-2021</t>
        </is>
      </c>
      <c r="B3575" s="1" t="n">
        <v>44455</v>
      </c>
      <c r="C3575" s="1" t="n">
        <v>45192</v>
      </c>
      <c r="D3575" t="inlineStr">
        <is>
          <t>ÖSTERGÖTLANDS LÄN</t>
        </is>
      </c>
      <c r="E3575" t="inlineStr">
        <is>
          <t>FINSPÅNG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49869-2021</t>
        </is>
      </c>
      <c r="B3576" s="1" t="n">
        <v>44455</v>
      </c>
      <c r="C3576" s="1" t="n">
        <v>45192</v>
      </c>
      <c r="D3576" t="inlineStr">
        <is>
          <t>ÖSTERGÖTLANDS LÄN</t>
        </is>
      </c>
      <c r="E3576" t="inlineStr">
        <is>
          <t>NORRKÖPING</t>
        </is>
      </c>
      <c r="G3576" t="n">
        <v>2.2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49658-2021</t>
        </is>
      </c>
      <c r="B3577" s="1" t="n">
        <v>44455</v>
      </c>
      <c r="C3577" s="1" t="n">
        <v>45192</v>
      </c>
      <c r="D3577" t="inlineStr">
        <is>
          <t>ÖSTERGÖTLANDS LÄN</t>
        </is>
      </c>
      <c r="E3577" t="inlineStr">
        <is>
          <t>MOTALA</t>
        </is>
      </c>
      <c r="G3577" t="n">
        <v>2.4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49787-2021</t>
        </is>
      </c>
      <c r="B3578" s="1" t="n">
        <v>44455</v>
      </c>
      <c r="C3578" s="1" t="n">
        <v>45192</v>
      </c>
      <c r="D3578" t="inlineStr">
        <is>
          <t>ÖSTERGÖTLANDS LÄN</t>
        </is>
      </c>
      <c r="E3578" t="inlineStr">
        <is>
          <t>MOTALA</t>
        </is>
      </c>
      <c r="G3578" t="n">
        <v>11.9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49897-2021</t>
        </is>
      </c>
      <c r="B3579" s="1" t="n">
        <v>44455</v>
      </c>
      <c r="C3579" s="1" t="n">
        <v>45192</v>
      </c>
      <c r="D3579" t="inlineStr">
        <is>
          <t>ÖSTERGÖTLANDS LÄN</t>
        </is>
      </c>
      <c r="E3579" t="inlineStr">
        <is>
          <t>BOXHOLM</t>
        </is>
      </c>
      <c r="G3579" t="n">
        <v>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50133-2021</t>
        </is>
      </c>
      <c r="B3580" s="1" t="n">
        <v>44456</v>
      </c>
      <c r="C3580" s="1" t="n">
        <v>45192</v>
      </c>
      <c r="D3580" t="inlineStr">
        <is>
          <t>ÖSTERGÖTLANDS LÄN</t>
        </is>
      </c>
      <c r="E3580" t="inlineStr">
        <is>
          <t>NORRKÖPING</t>
        </is>
      </c>
      <c r="F3580" t="inlineStr">
        <is>
          <t>Holmen skog AB</t>
        </is>
      </c>
      <c r="G3580" t="n">
        <v>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49990-2021</t>
        </is>
      </c>
      <c r="B3581" s="1" t="n">
        <v>44456</v>
      </c>
      <c r="C3581" s="1" t="n">
        <v>45192</v>
      </c>
      <c r="D3581" t="inlineStr">
        <is>
          <t>ÖSTERGÖTLANDS LÄN</t>
        </is>
      </c>
      <c r="E3581" t="inlineStr">
        <is>
          <t>BOXHOLM</t>
        </is>
      </c>
      <c r="G3581" t="n">
        <v>0.6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50101-2021</t>
        </is>
      </c>
      <c r="B3582" s="1" t="n">
        <v>44456</v>
      </c>
      <c r="C3582" s="1" t="n">
        <v>45192</v>
      </c>
      <c r="D3582" t="inlineStr">
        <is>
          <t>ÖSTERGÖTLANDS LÄN</t>
        </is>
      </c>
      <c r="E3582" t="inlineStr">
        <is>
          <t>KINDA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50136-2021</t>
        </is>
      </c>
      <c r="B3583" s="1" t="n">
        <v>44456</v>
      </c>
      <c r="C3583" s="1" t="n">
        <v>45192</v>
      </c>
      <c r="D3583" t="inlineStr">
        <is>
          <t>ÖSTERGÖTLANDS LÄN</t>
        </is>
      </c>
      <c r="E3583" t="inlineStr">
        <is>
          <t>NORRKÖPING</t>
        </is>
      </c>
      <c r="F3583" t="inlineStr">
        <is>
          <t>Holmen skog AB</t>
        </is>
      </c>
      <c r="G3583" t="n">
        <v>1.4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49958-2021</t>
        </is>
      </c>
      <c r="B3584" s="1" t="n">
        <v>44456</v>
      </c>
      <c r="C3584" s="1" t="n">
        <v>45192</v>
      </c>
      <c r="D3584" t="inlineStr">
        <is>
          <t>ÖSTERGÖTLANDS LÄN</t>
        </is>
      </c>
      <c r="E3584" t="inlineStr">
        <is>
          <t>FINSPÅNG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50502-2021</t>
        </is>
      </c>
      <c r="B3585" s="1" t="n">
        <v>44458</v>
      </c>
      <c r="C3585" s="1" t="n">
        <v>45192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50593-2021</t>
        </is>
      </c>
      <c r="B3586" s="1" t="n">
        <v>44459</v>
      </c>
      <c r="C3586" s="1" t="n">
        <v>45192</v>
      </c>
      <c r="D3586" t="inlineStr">
        <is>
          <t>ÖSTERGÖTLANDS LÄN</t>
        </is>
      </c>
      <c r="E3586" t="inlineStr">
        <is>
          <t>ÅTVIDABERG</t>
        </is>
      </c>
      <c r="G3586" t="n">
        <v>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50386-2021</t>
        </is>
      </c>
      <c r="B3587" s="1" t="n">
        <v>44459</v>
      </c>
      <c r="C3587" s="1" t="n">
        <v>45192</v>
      </c>
      <c r="D3587" t="inlineStr">
        <is>
          <t>ÖSTERGÖTLANDS LÄN</t>
        </is>
      </c>
      <c r="E3587" t="inlineStr">
        <is>
          <t>LINKÖPING</t>
        </is>
      </c>
      <c r="G3587" t="n">
        <v>2.3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50558-2021</t>
        </is>
      </c>
      <c r="B3588" s="1" t="n">
        <v>44459</v>
      </c>
      <c r="C3588" s="1" t="n">
        <v>45192</v>
      </c>
      <c r="D3588" t="inlineStr">
        <is>
          <t>ÖSTERGÖTLANDS LÄN</t>
        </is>
      </c>
      <c r="E3588" t="inlineStr">
        <is>
          <t>NORRKÖPING</t>
        </is>
      </c>
      <c r="F3588" t="inlineStr">
        <is>
          <t>Holmen skog AB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50619-2021</t>
        </is>
      </c>
      <c r="B3589" s="1" t="n">
        <v>44459</v>
      </c>
      <c r="C3589" s="1" t="n">
        <v>45192</v>
      </c>
      <c r="D3589" t="inlineStr">
        <is>
          <t>ÖSTERGÖTLANDS LÄN</t>
        </is>
      </c>
      <c r="E3589" t="inlineStr">
        <is>
          <t>SÖDERKÖPING</t>
        </is>
      </c>
      <c r="G3589" t="n">
        <v>3.3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50306-2021</t>
        </is>
      </c>
      <c r="B3590" s="1" t="n">
        <v>44459</v>
      </c>
      <c r="C3590" s="1" t="n">
        <v>45192</v>
      </c>
      <c r="D3590" t="inlineStr">
        <is>
          <t>ÖSTERGÖTLANDS LÄN</t>
        </is>
      </c>
      <c r="E3590" t="inlineStr">
        <is>
          <t>NORRKÖPING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50752-2021</t>
        </is>
      </c>
      <c r="B3591" s="1" t="n">
        <v>44460</v>
      </c>
      <c r="C3591" s="1" t="n">
        <v>45192</v>
      </c>
      <c r="D3591" t="inlineStr">
        <is>
          <t>ÖSTERGÖTLANDS LÄN</t>
        </is>
      </c>
      <c r="E3591" t="inlineStr">
        <is>
          <t>KINDA</t>
        </is>
      </c>
      <c r="G3591" t="n">
        <v>3.7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50963-2021</t>
        </is>
      </c>
      <c r="B3592" s="1" t="n">
        <v>44460</v>
      </c>
      <c r="C3592" s="1" t="n">
        <v>45192</v>
      </c>
      <c r="D3592" t="inlineStr">
        <is>
          <t>ÖSTERGÖTLANDS LÄN</t>
        </is>
      </c>
      <c r="E3592" t="inlineStr">
        <is>
          <t>LINKÖPING</t>
        </is>
      </c>
      <c r="G3592" t="n">
        <v>4.4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51509-2021</t>
        </is>
      </c>
      <c r="B3593" s="1" t="n">
        <v>44460</v>
      </c>
      <c r="C3593" s="1" t="n">
        <v>45192</v>
      </c>
      <c r="D3593" t="inlineStr">
        <is>
          <t>ÖSTERGÖTLANDS LÄN</t>
        </is>
      </c>
      <c r="E3593" t="inlineStr">
        <is>
          <t>BOXHOLM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50982-2021</t>
        </is>
      </c>
      <c r="B3594" s="1" t="n">
        <v>44460</v>
      </c>
      <c r="C3594" s="1" t="n">
        <v>45192</v>
      </c>
      <c r="D3594" t="inlineStr">
        <is>
          <t>ÖSTERGÖTLANDS LÄN</t>
        </is>
      </c>
      <c r="E3594" t="inlineStr">
        <is>
          <t>LINKÖPING</t>
        </is>
      </c>
      <c r="G3594" t="n">
        <v>2.8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50751-2021</t>
        </is>
      </c>
      <c r="B3595" s="1" t="n">
        <v>44460</v>
      </c>
      <c r="C3595" s="1" t="n">
        <v>45192</v>
      </c>
      <c r="D3595" t="inlineStr">
        <is>
          <t>ÖSTERGÖTLANDS LÄN</t>
        </is>
      </c>
      <c r="E3595" t="inlineStr">
        <is>
          <t>ÅTVIDABERG</t>
        </is>
      </c>
      <c r="G3595" t="n">
        <v>1.4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51225-2021</t>
        </is>
      </c>
      <c r="B3596" s="1" t="n">
        <v>44461</v>
      </c>
      <c r="C3596" s="1" t="n">
        <v>45192</v>
      </c>
      <c r="D3596" t="inlineStr">
        <is>
          <t>ÖSTERGÖTLANDS LÄN</t>
        </is>
      </c>
      <c r="E3596" t="inlineStr">
        <is>
          <t>YDRE</t>
        </is>
      </c>
      <c r="G3596" t="n">
        <v>6.1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51261-2021</t>
        </is>
      </c>
      <c r="B3597" s="1" t="n">
        <v>44461</v>
      </c>
      <c r="C3597" s="1" t="n">
        <v>45192</v>
      </c>
      <c r="D3597" t="inlineStr">
        <is>
          <t>ÖSTERGÖTLANDS LÄN</t>
        </is>
      </c>
      <c r="E3597" t="inlineStr">
        <is>
          <t>BOXHOLM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51332-2021</t>
        </is>
      </c>
      <c r="B3598" s="1" t="n">
        <v>44461</v>
      </c>
      <c r="C3598" s="1" t="n">
        <v>45192</v>
      </c>
      <c r="D3598" t="inlineStr">
        <is>
          <t>ÖSTERGÖTLANDS LÄN</t>
        </is>
      </c>
      <c r="E3598" t="inlineStr">
        <is>
          <t>YDRE</t>
        </is>
      </c>
      <c r="G3598" t="n">
        <v>3.5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51633-2021</t>
        </is>
      </c>
      <c r="B3599" s="1" t="n">
        <v>44462</v>
      </c>
      <c r="C3599" s="1" t="n">
        <v>45192</v>
      </c>
      <c r="D3599" t="inlineStr">
        <is>
          <t>ÖSTERGÖTLANDS LÄN</t>
        </is>
      </c>
      <c r="E3599" t="inlineStr">
        <is>
          <t>FINSPÅNG</t>
        </is>
      </c>
      <c r="G3599" t="n">
        <v>2.1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51613-2021</t>
        </is>
      </c>
      <c r="B3600" s="1" t="n">
        <v>44462</v>
      </c>
      <c r="C3600" s="1" t="n">
        <v>45192</v>
      </c>
      <c r="D3600" t="inlineStr">
        <is>
          <t>ÖSTERGÖTLANDS LÄN</t>
        </is>
      </c>
      <c r="E3600" t="inlineStr">
        <is>
          <t>FINSPÅNG</t>
        </is>
      </c>
      <c r="G3600" t="n">
        <v>1.9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51639-2021</t>
        </is>
      </c>
      <c r="B3601" s="1" t="n">
        <v>44462</v>
      </c>
      <c r="C3601" s="1" t="n">
        <v>45192</v>
      </c>
      <c r="D3601" t="inlineStr">
        <is>
          <t>ÖSTERGÖTLANDS LÄN</t>
        </is>
      </c>
      <c r="E3601" t="inlineStr">
        <is>
          <t>MJÖLBY</t>
        </is>
      </c>
      <c r="G3601" t="n">
        <v>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51836-2021</t>
        </is>
      </c>
      <c r="B3602" s="1" t="n">
        <v>44462</v>
      </c>
      <c r="C3602" s="1" t="n">
        <v>45192</v>
      </c>
      <c r="D3602" t="inlineStr">
        <is>
          <t>ÖSTERGÖTLANDS LÄN</t>
        </is>
      </c>
      <c r="E3602" t="inlineStr">
        <is>
          <t>KINDA</t>
        </is>
      </c>
      <c r="F3602" t="inlineStr">
        <is>
          <t>Övriga Aktiebolag</t>
        </is>
      </c>
      <c r="G3602" t="n">
        <v>0.6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51877-2021</t>
        </is>
      </c>
      <c r="B3603" s="1" t="n">
        <v>44462</v>
      </c>
      <c r="C3603" s="1" t="n">
        <v>45192</v>
      </c>
      <c r="D3603" t="inlineStr">
        <is>
          <t>ÖSTERGÖTLANDS LÄN</t>
        </is>
      </c>
      <c r="E3603" t="inlineStr">
        <is>
          <t>NORRKÖPING</t>
        </is>
      </c>
      <c r="G3603" t="n">
        <v>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51704-2021</t>
        </is>
      </c>
      <c r="B3604" s="1" t="n">
        <v>44462</v>
      </c>
      <c r="C3604" s="1" t="n">
        <v>45192</v>
      </c>
      <c r="D3604" t="inlineStr">
        <is>
          <t>ÖSTERGÖTLANDS LÄN</t>
        </is>
      </c>
      <c r="E3604" t="inlineStr">
        <is>
          <t>ÅTVIDABERG</t>
        </is>
      </c>
      <c r="F3604" t="inlineStr">
        <is>
          <t>Övriga Aktiebolag</t>
        </is>
      </c>
      <c r="G3604" t="n">
        <v>1.2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51838-2021</t>
        </is>
      </c>
      <c r="B3605" s="1" t="n">
        <v>44462</v>
      </c>
      <c r="C3605" s="1" t="n">
        <v>45192</v>
      </c>
      <c r="D3605" t="inlineStr">
        <is>
          <t>ÖSTERGÖTLANDS LÄN</t>
        </is>
      </c>
      <c r="E3605" t="inlineStr">
        <is>
          <t>NORRKÖPING</t>
        </is>
      </c>
      <c r="G3605" t="n">
        <v>3.4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51881-2021</t>
        </is>
      </c>
      <c r="B3606" s="1" t="n">
        <v>44462</v>
      </c>
      <c r="C3606" s="1" t="n">
        <v>45192</v>
      </c>
      <c r="D3606" t="inlineStr">
        <is>
          <t>ÖSTERGÖTLANDS LÄN</t>
        </is>
      </c>
      <c r="E3606" t="inlineStr">
        <is>
          <t>ÅTVIDABERG</t>
        </is>
      </c>
      <c r="G3606" t="n">
        <v>3.6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51448-2021</t>
        </is>
      </c>
      <c r="B3607" s="1" t="n">
        <v>44462</v>
      </c>
      <c r="C3607" s="1" t="n">
        <v>45192</v>
      </c>
      <c r="D3607" t="inlineStr">
        <is>
          <t>ÖSTERGÖTLANDS LÄN</t>
        </is>
      </c>
      <c r="E3607" t="inlineStr">
        <is>
          <t>FINSPÅNG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51642-2021</t>
        </is>
      </c>
      <c r="B3608" s="1" t="n">
        <v>44462</v>
      </c>
      <c r="C3608" s="1" t="n">
        <v>45192</v>
      </c>
      <c r="D3608" t="inlineStr">
        <is>
          <t>ÖSTERGÖTLANDS LÄN</t>
        </is>
      </c>
      <c r="E3608" t="inlineStr">
        <is>
          <t>MJÖLBY</t>
        </is>
      </c>
      <c r="G3608" t="n">
        <v>2.9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51808-2021</t>
        </is>
      </c>
      <c r="B3609" s="1" t="n">
        <v>44462</v>
      </c>
      <c r="C3609" s="1" t="n">
        <v>45192</v>
      </c>
      <c r="D3609" t="inlineStr">
        <is>
          <t>ÖSTERGÖTLANDS LÄN</t>
        </is>
      </c>
      <c r="E3609" t="inlineStr">
        <is>
          <t>FINSPÅNG</t>
        </is>
      </c>
      <c r="F3609" t="inlineStr">
        <is>
          <t>Sveaskog</t>
        </is>
      </c>
      <c r="G3609" t="n">
        <v>0.9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51882-2021</t>
        </is>
      </c>
      <c r="B3610" s="1" t="n">
        <v>44462</v>
      </c>
      <c r="C3610" s="1" t="n">
        <v>45192</v>
      </c>
      <c r="D3610" t="inlineStr">
        <is>
          <t>ÖSTERGÖTLANDS LÄN</t>
        </is>
      </c>
      <c r="E3610" t="inlineStr">
        <is>
          <t>ÅTVIDABERG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53785-2021</t>
        </is>
      </c>
      <c r="B3611" s="1" t="n">
        <v>44463</v>
      </c>
      <c r="C3611" s="1" t="n">
        <v>45192</v>
      </c>
      <c r="D3611" t="inlineStr">
        <is>
          <t>ÖSTERGÖTLANDS LÄN</t>
        </is>
      </c>
      <c r="E3611" t="inlineStr">
        <is>
          <t>VALDEMARSVIK</t>
        </is>
      </c>
      <c r="F3611" t="inlineStr">
        <is>
          <t>Övriga Aktiebolag</t>
        </is>
      </c>
      <c r="G3611" t="n">
        <v>6.9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52206-2021</t>
        </is>
      </c>
      <c r="B3612" s="1" t="n">
        <v>44463</v>
      </c>
      <c r="C3612" s="1" t="n">
        <v>45192</v>
      </c>
      <c r="D3612" t="inlineStr">
        <is>
          <t>ÖSTERGÖTLANDS LÄN</t>
        </is>
      </c>
      <c r="E3612" t="inlineStr">
        <is>
          <t>KINDA</t>
        </is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53782-2021</t>
        </is>
      </c>
      <c r="B3613" s="1" t="n">
        <v>44463</v>
      </c>
      <c r="C3613" s="1" t="n">
        <v>45192</v>
      </c>
      <c r="D3613" t="inlineStr">
        <is>
          <t>ÖSTERGÖTLANDS LÄN</t>
        </is>
      </c>
      <c r="E3613" t="inlineStr">
        <is>
          <t>VALDEMARSVIK</t>
        </is>
      </c>
      <c r="F3613" t="inlineStr">
        <is>
          <t>Övriga Aktiebolag</t>
        </is>
      </c>
      <c r="G3613" t="n">
        <v>1.3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51982-2021</t>
        </is>
      </c>
      <c r="B3614" s="1" t="n">
        <v>44463</v>
      </c>
      <c r="C3614" s="1" t="n">
        <v>45192</v>
      </c>
      <c r="D3614" t="inlineStr">
        <is>
          <t>ÖSTERGÖTLANDS LÄN</t>
        </is>
      </c>
      <c r="E3614" t="inlineStr">
        <is>
          <t>FINSPÅNG</t>
        </is>
      </c>
      <c r="F3614" t="inlineStr">
        <is>
          <t>Sveaskog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52223-2021</t>
        </is>
      </c>
      <c r="B3615" s="1" t="n">
        <v>44463</v>
      </c>
      <c r="C3615" s="1" t="n">
        <v>45192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10.8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53786-2021</t>
        </is>
      </c>
      <c r="B3616" s="1" t="n">
        <v>44463</v>
      </c>
      <c r="C3616" s="1" t="n">
        <v>45192</v>
      </c>
      <c r="D3616" t="inlineStr">
        <is>
          <t>ÖSTERGÖTLANDS LÄN</t>
        </is>
      </c>
      <c r="E3616" t="inlineStr">
        <is>
          <t>VALDEMARSVIK</t>
        </is>
      </c>
      <c r="F3616" t="inlineStr">
        <is>
          <t>Övriga Aktiebolag</t>
        </is>
      </c>
      <c r="G3616" t="n">
        <v>4.9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51989-2021</t>
        </is>
      </c>
      <c r="B3617" s="1" t="n">
        <v>44463</v>
      </c>
      <c r="C3617" s="1" t="n">
        <v>45192</v>
      </c>
      <c r="D3617" t="inlineStr">
        <is>
          <t>ÖSTERGÖTLANDS LÄN</t>
        </is>
      </c>
      <c r="E3617" t="inlineStr">
        <is>
          <t>FINSPÅNG</t>
        </is>
      </c>
      <c r="F3617" t="inlineStr">
        <is>
          <t>Sveaskog</t>
        </is>
      </c>
      <c r="G3617" t="n">
        <v>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52207-2021</t>
        </is>
      </c>
      <c r="B3618" s="1" t="n">
        <v>44463</v>
      </c>
      <c r="C3618" s="1" t="n">
        <v>45192</v>
      </c>
      <c r="D3618" t="inlineStr">
        <is>
          <t>ÖSTERGÖTLANDS LÄN</t>
        </is>
      </c>
      <c r="E3618" t="inlineStr">
        <is>
          <t>KINDA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52382-2021</t>
        </is>
      </c>
      <c r="B3619" s="1" t="n">
        <v>44465</v>
      </c>
      <c r="C3619" s="1" t="n">
        <v>45192</v>
      </c>
      <c r="D3619" t="inlineStr">
        <is>
          <t>ÖSTERGÖTLANDS LÄN</t>
        </is>
      </c>
      <c r="E3619" t="inlineStr">
        <is>
          <t>KINDA</t>
        </is>
      </c>
      <c r="G3619" t="n">
        <v>0.5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52476-2021</t>
        </is>
      </c>
      <c r="B3620" s="1" t="n">
        <v>44466</v>
      </c>
      <c r="C3620" s="1" t="n">
        <v>45192</v>
      </c>
      <c r="D3620" t="inlineStr">
        <is>
          <t>ÖSTERGÖTLANDS LÄN</t>
        </is>
      </c>
      <c r="E3620" t="inlineStr">
        <is>
          <t>ÖDESHÖG</t>
        </is>
      </c>
      <c r="F3620" t="inlineStr">
        <is>
          <t>Kyrkan</t>
        </is>
      </c>
      <c r="G3620" t="n">
        <v>0.6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53146-2021</t>
        </is>
      </c>
      <c r="B3621" s="1" t="n">
        <v>44466</v>
      </c>
      <c r="C3621" s="1" t="n">
        <v>45192</v>
      </c>
      <c r="D3621" t="inlineStr">
        <is>
          <t>ÖSTERGÖTLANDS LÄN</t>
        </is>
      </c>
      <c r="E3621" t="inlineStr">
        <is>
          <t>LINKÖPING</t>
        </is>
      </c>
      <c r="G3621" t="n">
        <v>1.2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52756-2021</t>
        </is>
      </c>
      <c r="B3622" s="1" t="n">
        <v>44467</v>
      </c>
      <c r="C3622" s="1" t="n">
        <v>45192</v>
      </c>
      <c r="D3622" t="inlineStr">
        <is>
          <t>ÖSTERGÖTLANDS LÄN</t>
        </is>
      </c>
      <c r="E3622" t="inlineStr">
        <is>
          <t>ÅTVIDABERG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52966-2021</t>
        </is>
      </c>
      <c r="B3623" s="1" t="n">
        <v>44467</v>
      </c>
      <c r="C3623" s="1" t="n">
        <v>45192</v>
      </c>
      <c r="D3623" t="inlineStr">
        <is>
          <t>ÖSTERGÖTLANDS LÄN</t>
        </is>
      </c>
      <c r="E3623" t="inlineStr">
        <is>
          <t>LINKÖPING</t>
        </is>
      </c>
      <c r="G3623" t="n">
        <v>2.6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52763-2021</t>
        </is>
      </c>
      <c r="B3624" s="1" t="n">
        <v>44467</v>
      </c>
      <c r="C3624" s="1" t="n">
        <v>45192</v>
      </c>
      <c r="D3624" t="inlineStr">
        <is>
          <t>ÖSTERGÖTLANDS LÄN</t>
        </is>
      </c>
      <c r="E3624" t="inlineStr">
        <is>
          <t>ÅTVIDABERG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52968-2021</t>
        </is>
      </c>
      <c r="B3625" s="1" t="n">
        <v>44467</v>
      </c>
      <c r="C3625" s="1" t="n">
        <v>45192</v>
      </c>
      <c r="D3625" t="inlineStr">
        <is>
          <t>ÖSTERGÖTLANDS LÄN</t>
        </is>
      </c>
      <c r="E3625" t="inlineStr">
        <is>
          <t>LINKÖPING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53082-2021</t>
        </is>
      </c>
      <c r="B3626" s="1" t="n">
        <v>44467</v>
      </c>
      <c r="C3626" s="1" t="n">
        <v>45192</v>
      </c>
      <c r="D3626" t="inlineStr">
        <is>
          <t>ÖSTERGÖTLANDS LÄN</t>
        </is>
      </c>
      <c r="E3626" t="inlineStr">
        <is>
          <t>ÅTVIDABERG</t>
        </is>
      </c>
      <c r="G3626" t="n">
        <v>1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52773-2021</t>
        </is>
      </c>
      <c r="B3627" s="1" t="n">
        <v>44467</v>
      </c>
      <c r="C3627" s="1" t="n">
        <v>45192</v>
      </c>
      <c r="D3627" t="inlineStr">
        <is>
          <t>ÖSTERGÖTLANDS LÄN</t>
        </is>
      </c>
      <c r="E3627" t="inlineStr">
        <is>
          <t>ÅTVIDABERG</t>
        </is>
      </c>
      <c r="G3627" t="n">
        <v>0.8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52743-2021</t>
        </is>
      </c>
      <c r="B3628" s="1" t="n">
        <v>44467</v>
      </c>
      <c r="C3628" s="1" t="n">
        <v>45192</v>
      </c>
      <c r="D3628" t="inlineStr">
        <is>
          <t>ÖSTERGÖTLANDS LÄN</t>
        </is>
      </c>
      <c r="E3628" t="inlineStr">
        <is>
          <t>ÅTVIDABERG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52776-2021</t>
        </is>
      </c>
      <c r="B3629" s="1" t="n">
        <v>44467</v>
      </c>
      <c r="C3629" s="1" t="n">
        <v>45192</v>
      </c>
      <c r="D3629" t="inlineStr">
        <is>
          <t>ÖSTERGÖTLANDS LÄN</t>
        </is>
      </c>
      <c r="E3629" t="inlineStr">
        <is>
          <t>ÅTVIDABERG</t>
        </is>
      </c>
      <c r="G3629" t="n">
        <v>0.7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53360-2021</t>
        </is>
      </c>
      <c r="B3630" s="1" t="n">
        <v>44468</v>
      </c>
      <c r="C3630" s="1" t="n">
        <v>45192</v>
      </c>
      <c r="D3630" t="inlineStr">
        <is>
          <t>ÖSTERGÖTLANDS LÄN</t>
        </is>
      </c>
      <c r="E3630" t="inlineStr">
        <is>
          <t>YDRE</t>
        </is>
      </c>
      <c r="F3630" t="inlineStr">
        <is>
          <t>Kyrkan</t>
        </is>
      </c>
      <c r="G3630" t="n">
        <v>2.2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53444-2021</t>
        </is>
      </c>
      <c r="B3631" s="1" t="n">
        <v>44468</v>
      </c>
      <c r="C3631" s="1" t="n">
        <v>45192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1.7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53177-2021</t>
        </is>
      </c>
      <c r="B3632" s="1" t="n">
        <v>44468</v>
      </c>
      <c r="C3632" s="1" t="n">
        <v>45192</v>
      </c>
      <c r="D3632" t="inlineStr">
        <is>
          <t>ÖSTERGÖTLANDS LÄN</t>
        </is>
      </c>
      <c r="E3632" t="inlineStr">
        <is>
          <t>NORRKÖPING</t>
        </is>
      </c>
      <c r="F3632" t="inlineStr">
        <is>
          <t>Holmen skog AB</t>
        </is>
      </c>
      <c r="G3632" t="n">
        <v>1.9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53574-2021</t>
        </is>
      </c>
      <c r="B3633" s="1" t="n">
        <v>44468</v>
      </c>
      <c r="C3633" s="1" t="n">
        <v>45192</v>
      </c>
      <c r="D3633" t="inlineStr">
        <is>
          <t>ÖSTERGÖTLANDS LÄN</t>
        </is>
      </c>
      <c r="E3633" t="inlineStr">
        <is>
          <t>MOTALA</t>
        </is>
      </c>
      <c r="G3633" t="n">
        <v>6.4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53741-2021</t>
        </is>
      </c>
      <c r="B3634" s="1" t="n">
        <v>44469</v>
      </c>
      <c r="C3634" s="1" t="n">
        <v>45192</v>
      </c>
      <c r="D3634" t="inlineStr">
        <is>
          <t>ÖSTERGÖTLANDS LÄN</t>
        </is>
      </c>
      <c r="E3634" t="inlineStr">
        <is>
          <t>FINSPÅNG</t>
        </is>
      </c>
      <c r="G3634" t="n">
        <v>1.9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53892-2021</t>
        </is>
      </c>
      <c r="B3635" s="1" t="n">
        <v>44469</v>
      </c>
      <c r="C3635" s="1" t="n">
        <v>45192</v>
      </c>
      <c r="D3635" t="inlineStr">
        <is>
          <t>ÖSTERGÖTLANDS LÄN</t>
        </is>
      </c>
      <c r="E3635" t="inlineStr">
        <is>
          <t>KINDA</t>
        </is>
      </c>
      <c r="G3635" t="n">
        <v>0.7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53545-2021</t>
        </is>
      </c>
      <c r="B3636" s="1" t="n">
        <v>44469</v>
      </c>
      <c r="C3636" s="1" t="n">
        <v>45192</v>
      </c>
      <c r="D3636" t="inlineStr">
        <is>
          <t>ÖSTERGÖTLANDS LÄN</t>
        </is>
      </c>
      <c r="E3636" t="inlineStr">
        <is>
          <t>FINSPÅNG</t>
        </is>
      </c>
      <c r="G3636" t="n">
        <v>0.5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53660-2021</t>
        </is>
      </c>
      <c r="B3637" s="1" t="n">
        <v>44469</v>
      </c>
      <c r="C3637" s="1" t="n">
        <v>45192</v>
      </c>
      <c r="D3637" t="inlineStr">
        <is>
          <t>ÖSTERGÖTLANDS LÄN</t>
        </is>
      </c>
      <c r="E3637" t="inlineStr">
        <is>
          <t>LINKÖPING</t>
        </is>
      </c>
      <c r="G3637" t="n">
        <v>2.6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53669-2021</t>
        </is>
      </c>
      <c r="B3638" s="1" t="n">
        <v>44469</v>
      </c>
      <c r="C3638" s="1" t="n">
        <v>45192</v>
      </c>
      <c r="D3638" t="inlineStr">
        <is>
          <t>ÖSTERGÖTLANDS LÄN</t>
        </is>
      </c>
      <c r="E3638" t="inlineStr">
        <is>
          <t>MOTALA</t>
        </is>
      </c>
      <c r="G3638" t="n">
        <v>2.1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53888-2021</t>
        </is>
      </c>
      <c r="B3639" s="1" t="n">
        <v>44469</v>
      </c>
      <c r="C3639" s="1" t="n">
        <v>45192</v>
      </c>
      <c r="D3639" t="inlineStr">
        <is>
          <t>ÖSTERGÖTLANDS LÄN</t>
        </is>
      </c>
      <c r="E3639" t="inlineStr">
        <is>
          <t>KINDA</t>
        </is>
      </c>
      <c r="G3639" t="n">
        <v>1.9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53904-2021</t>
        </is>
      </c>
      <c r="B3640" s="1" t="n">
        <v>44469</v>
      </c>
      <c r="C3640" s="1" t="n">
        <v>45192</v>
      </c>
      <c r="D3640" t="inlineStr">
        <is>
          <t>ÖSTERGÖTLANDS LÄN</t>
        </is>
      </c>
      <c r="E3640" t="inlineStr">
        <is>
          <t>SÖDERKÖPING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53746-2021</t>
        </is>
      </c>
      <c r="B3641" s="1" t="n">
        <v>44469</v>
      </c>
      <c r="C3641" s="1" t="n">
        <v>45192</v>
      </c>
      <c r="D3641" t="inlineStr">
        <is>
          <t>ÖSTERGÖTLANDS LÄN</t>
        </is>
      </c>
      <c r="E3641" t="inlineStr">
        <is>
          <t>FINSPÅNG</t>
        </is>
      </c>
      <c r="G3641" t="n">
        <v>0.5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53900-2021</t>
        </is>
      </c>
      <c r="B3642" s="1" t="n">
        <v>44469</v>
      </c>
      <c r="C3642" s="1" t="n">
        <v>45192</v>
      </c>
      <c r="D3642" t="inlineStr">
        <is>
          <t>ÖSTERGÖTLANDS LÄN</t>
        </is>
      </c>
      <c r="E3642" t="inlineStr">
        <is>
          <t>NORRKÖPING</t>
        </is>
      </c>
      <c r="G3642" t="n">
        <v>1.4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53647-2021</t>
        </is>
      </c>
      <c r="B3643" s="1" t="n">
        <v>44469</v>
      </c>
      <c r="C3643" s="1" t="n">
        <v>45192</v>
      </c>
      <c r="D3643" t="inlineStr">
        <is>
          <t>ÖSTERGÖTLANDS LÄN</t>
        </is>
      </c>
      <c r="E3643" t="inlineStr">
        <is>
          <t>LINKÖPING</t>
        </is>
      </c>
      <c r="G3643" t="n">
        <v>2.3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53899-2021</t>
        </is>
      </c>
      <c r="B3644" s="1" t="n">
        <v>44469</v>
      </c>
      <c r="C3644" s="1" t="n">
        <v>45192</v>
      </c>
      <c r="D3644" t="inlineStr">
        <is>
          <t>ÖSTERGÖTLANDS LÄN</t>
        </is>
      </c>
      <c r="E3644" t="inlineStr">
        <is>
          <t>NORRKÖPING</t>
        </is>
      </c>
      <c r="G3644" t="n">
        <v>3.1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53909-2021</t>
        </is>
      </c>
      <c r="B3645" s="1" t="n">
        <v>44469</v>
      </c>
      <c r="C3645" s="1" t="n">
        <v>45192</v>
      </c>
      <c r="D3645" t="inlineStr">
        <is>
          <t>ÖSTERGÖTLANDS LÄN</t>
        </is>
      </c>
      <c r="E3645" t="inlineStr">
        <is>
          <t>YDRE</t>
        </is>
      </c>
      <c r="G3645" t="n">
        <v>1.9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54444-2021</t>
        </is>
      </c>
      <c r="B3646" s="1" t="n">
        <v>44473</v>
      </c>
      <c r="C3646" s="1" t="n">
        <v>45192</v>
      </c>
      <c r="D3646" t="inlineStr">
        <is>
          <t>ÖSTERGÖTLANDS LÄN</t>
        </is>
      </c>
      <c r="E3646" t="inlineStr">
        <is>
          <t>MJÖLBY</t>
        </is>
      </c>
      <c r="G3646" t="n">
        <v>1.3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54609-2021</t>
        </is>
      </c>
      <c r="B3647" s="1" t="n">
        <v>44473</v>
      </c>
      <c r="C3647" s="1" t="n">
        <v>45192</v>
      </c>
      <c r="D3647" t="inlineStr">
        <is>
          <t>ÖSTERGÖTLANDS LÄN</t>
        </is>
      </c>
      <c r="E3647" t="inlineStr">
        <is>
          <t>FINSPÅNG</t>
        </is>
      </c>
      <c r="F3647" t="inlineStr">
        <is>
          <t>Sveaskog</t>
        </is>
      </c>
      <c r="G3647" t="n">
        <v>1.5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54959-2021</t>
        </is>
      </c>
      <c r="B3648" s="1" t="n">
        <v>44474</v>
      </c>
      <c r="C3648" s="1" t="n">
        <v>45192</v>
      </c>
      <c r="D3648" t="inlineStr">
        <is>
          <t>ÖSTERGÖTLANDS LÄN</t>
        </is>
      </c>
      <c r="E3648" t="inlineStr">
        <is>
          <t>SÖDERKÖPING</t>
        </is>
      </c>
      <c r="G3648" t="n">
        <v>0.8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55119-2021</t>
        </is>
      </c>
      <c r="B3649" s="1" t="n">
        <v>44474</v>
      </c>
      <c r="C3649" s="1" t="n">
        <v>45192</v>
      </c>
      <c r="D3649" t="inlineStr">
        <is>
          <t>ÖSTERGÖTLANDS LÄN</t>
        </is>
      </c>
      <c r="E3649" t="inlineStr">
        <is>
          <t>MOTALA</t>
        </is>
      </c>
      <c r="G3649" t="n">
        <v>0.9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55078-2021</t>
        </is>
      </c>
      <c r="B3650" s="1" t="n">
        <v>44474</v>
      </c>
      <c r="C3650" s="1" t="n">
        <v>45192</v>
      </c>
      <c r="D3650" t="inlineStr">
        <is>
          <t>ÖSTERGÖTLANDS LÄN</t>
        </is>
      </c>
      <c r="E3650" t="inlineStr">
        <is>
          <t>YDRE</t>
        </is>
      </c>
      <c r="G3650" t="n">
        <v>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54961-2021</t>
        </is>
      </c>
      <c r="B3651" s="1" t="n">
        <v>44474</v>
      </c>
      <c r="C3651" s="1" t="n">
        <v>45192</v>
      </c>
      <c r="D3651" t="inlineStr">
        <is>
          <t>ÖSTERGÖTLANDS LÄN</t>
        </is>
      </c>
      <c r="E3651" t="inlineStr">
        <is>
          <t>SÖDERKÖPING</t>
        </is>
      </c>
      <c r="G3651" t="n">
        <v>1.2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55494-2021</t>
        </is>
      </c>
      <c r="B3652" s="1" t="n">
        <v>44475</v>
      </c>
      <c r="C3652" s="1" t="n">
        <v>45192</v>
      </c>
      <c r="D3652" t="inlineStr">
        <is>
          <t>ÖSTERGÖTLANDS LÄN</t>
        </is>
      </c>
      <c r="E3652" t="inlineStr">
        <is>
          <t>NORRKÖPING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55412-2021</t>
        </is>
      </c>
      <c r="B3653" s="1" t="n">
        <v>44475</v>
      </c>
      <c r="C3653" s="1" t="n">
        <v>45192</v>
      </c>
      <c r="D3653" t="inlineStr">
        <is>
          <t>ÖSTERGÖTLANDS LÄN</t>
        </is>
      </c>
      <c r="E3653" t="inlineStr">
        <is>
          <t>NORRKÖPING</t>
        </is>
      </c>
      <c r="G3653" t="n">
        <v>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55429-2021</t>
        </is>
      </c>
      <c r="B3654" s="1" t="n">
        <v>44475</v>
      </c>
      <c r="C3654" s="1" t="n">
        <v>45192</v>
      </c>
      <c r="D3654" t="inlineStr">
        <is>
          <t>ÖSTERGÖTLANDS LÄN</t>
        </is>
      </c>
      <c r="E3654" t="inlineStr">
        <is>
          <t>NORRKÖPING</t>
        </is>
      </c>
      <c r="G3654" t="n">
        <v>1.3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55441-2021</t>
        </is>
      </c>
      <c r="B3655" s="1" t="n">
        <v>44475</v>
      </c>
      <c r="C3655" s="1" t="n">
        <v>45192</v>
      </c>
      <c r="D3655" t="inlineStr">
        <is>
          <t>ÖSTERGÖTLANDS LÄN</t>
        </is>
      </c>
      <c r="E3655" t="inlineStr">
        <is>
          <t>MOTALA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55574-2021</t>
        </is>
      </c>
      <c r="B3656" s="1" t="n">
        <v>44475</v>
      </c>
      <c r="C3656" s="1" t="n">
        <v>45192</v>
      </c>
      <c r="D3656" t="inlineStr">
        <is>
          <t>ÖSTERGÖTLANDS LÄN</t>
        </is>
      </c>
      <c r="E3656" t="inlineStr">
        <is>
          <t>FINSPÅNG</t>
        </is>
      </c>
      <c r="F3656" t="inlineStr">
        <is>
          <t>Övriga Aktiebolag</t>
        </is>
      </c>
      <c r="G3656" t="n">
        <v>4.5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55345-2021</t>
        </is>
      </c>
      <c r="B3657" s="1" t="n">
        <v>44475</v>
      </c>
      <c r="C3657" s="1" t="n">
        <v>45192</v>
      </c>
      <c r="D3657" t="inlineStr">
        <is>
          <t>ÖSTERGÖTLANDS LÄN</t>
        </is>
      </c>
      <c r="E3657" t="inlineStr">
        <is>
          <t>LINKÖPING</t>
        </is>
      </c>
      <c r="G3657" t="n">
        <v>5.7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55731-2021</t>
        </is>
      </c>
      <c r="B3658" s="1" t="n">
        <v>44476</v>
      </c>
      <c r="C3658" s="1" t="n">
        <v>45192</v>
      </c>
      <c r="D3658" t="inlineStr">
        <is>
          <t>ÖSTERGÖTLANDS LÄN</t>
        </is>
      </c>
      <c r="E3658" t="inlineStr">
        <is>
          <t>FINSPÅNG</t>
        </is>
      </c>
      <c r="G3658" t="n">
        <v>4.7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55812-2021</t>
        </is>
      </c>
      <c r="B3659" s="1" t="n">
        <v>44476</v>
      </c>
      <c r="C3659" s="1" t="n">
        <v>45192</v>
      </c>
      <c r="D3659" t="inlineStr">
        <is>
          <t>ÖSTERGÖTLANDS LÄN</t>
        </is>
      </c>
      <c r="E3659" t="inlineStr">
        <is>
          <t>FINSPÅNG</t>
        </is>
      </c>
      <c r="G3659" t="n">
        <v>4.5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55860-2021</t>
        </is>
      </c>
      <c r="B3660" s="1" t="n">
        <v>44476</v>
      </c>
      <c r="C3660" s="1" t="n">
        <v>45192</v>
      </c>
      <c r="D3660" t="inlineStr">
        <is>
          <t>ÖSTERGÖTLANDS LÄN</t>
        </is>
      </c>
      <c r="E3660" t="inlineStr">
        <is>
          <t>LINKÖPING</t>
        </is>
      </c>
      <c r="G3660" t="n">
        <v>1.6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55815-2021</t>
        </is>
      </c>
      <c r="B3661" s="1" t="n">
        <v>44476</v>
      </c>
      <c r="C3661" s="1" t="n">
        <v>45192</v>
      </c>
      <c r="D3661" t="inlineStr">
        <is>
          <t>ÖSTERGÖTLANDS LÄN</t>
        </is>
      </c>
      <c r="E3661" t="inlineStr">
        <is>
          <t>FINSPÅNG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55620-2021</t>
        </is>
      </c>
      <c r="B3662" s="1" t="n">
        <v>44476</v>
      </c>
      <c r="C3662" s="1" t="n">
        <v>45192</v>
      </c>
      <c r="D3662" t="inlineStr">
        <is>
          <t>ÖSTERGÖTLANDS LÄN</t>
        </is>
      </c>
      <c r="E3662" t="inlineStr">
        <is>
          <t>FINSPÅNG</t>
        </is>
      </c>
      <c r="G3662" t="n">
        <v>1.6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55761-2021</t>
        </is>
      </c>
      <c r="B3663" s="1" t="n">
        <v>44476</v>
      </c>
      <c r="C3663" s="1" t="n">
        <v>45192</v>
      </c>
      <c r="D3663" t="inlineStr">
        <is>
          <t>ÖSTERGÖTLANDS LÄN</t>
        </is>
      </c>
      <c r="E3663" t="inlineStr">
        <is>
          <t>YDRE</t>
        </is>
      </c>
      <c r="F3663" t="inlineStr">
        <is>
          <t>Sveaskog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55744-2021</t>
        </is>
      </c>
      <c r="B3664" s="1" t="n">
        <v>44476</v>
      </c>
      <c r="C3664" s="1" t="n">
        <v>45192</v>
      </c>
      <c r="D3664" t="inlineStr">
        <is>
          <t>ÖSTERGÖTLANDS LÄN</t>
        </is>
      </c>
      <c r="E3664" t="inlineStr">
        <is>
          <t>FINSPÅNG</t>
        </is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56187-2021</t>
        </is>
      </c>
      <c r="B3665" s="1" t="n">
        <v>44477</v>
      </c>
      <c r="C3665" s="1" t="n">
        <v>45192</v>
      </c>
      <c r="D3665" t="inlineStr">
        <is>
          <t>ÖSTERGÖTLANDS LÄN</t>
        </is>
      </c>
      <c r="E3665" t="inlineStr">
        <is>
          <t>BOXHOLM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56425-2021</t>
        </is>
      </c>
      <c r="B3666" s="1" t="n">
        <v>44477</v>
      </c>
      <c r="C3666" s="1" t="n">
        <v>45192</v>
      </c>
      <c r="D3666" t="inlineStr">
        <is>
          <t>ÖSTERGÖTLANDS LÄN</t>
        </is>
      </c>
      <c r="E3666" t="inlineStr">
        <is>
          <t>BOXHOLM</t>
        </is>
      </c>
      <c r="G3666" t="n">
        <v>1.3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56341-2021</t>
        </is>
      </c>
      <c r="B3667" s="1" t="n">
        <v>44477</v>
      </c>
      <c r="C3667" s="1" t="n">
        <v>45192</v>
      </c>
      <c r="D3667" t="inlineStr">
        <is>
          <t>ÖSTERGÖTLANDS LÄN</t>
        </is>
      </c>
      <c r="E3667" t="inlineStr">
        <is>
          <t>YDRE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56423-2021</t>
        </is>
      </c>
      <c r="B3668" s="1" t="n">
        <v>44477</v>
      </c>
      <c r="C3668" s="1" t="n">
        <v>45192</v>
      </c>
      <c r="D3668" t="inlineStr">
        <is>
          <t>ÖSTERGÖTLANDS LÄN</t>
        </is>
      </c>
      <c r="E3668" t="inlineStr">
        <is>
          <t>BOXHOLM</t>
        </is>
      </c>
      <c r="G3668" t="n">
        <v>1.2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56238-2021</t>
        </is>
      </c>
      <c r="B3669" s="1" t="n">
        <v>44478</v>
      </c>
      <c r="C3669" s="1" t="n">
        <v>45192</v>
      </c>
      <c r="D3669" t="inlineStr">
        <is>
          <t>ÖSTERGÖTLANDS LÄN</t>
        </is>
      </c>
      <c r="E3669" t="inlineStr">
        <is>
          <t>ÅTVIDABERG</t>
        </is>
      </c>
      <c r="F3669" t="inlineStr">
        <is>
          <t>Övriga Aktiebolag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56240-2021</t>
        </is>
      </c>
      <c r="B3670" s="1" t="n">
        <v>44478</v>
      </c>
      <c r="C3670" s="1" t="n">
        <v>45192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0.6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56239-2021</t>
        </is>
      </c>
      <c r="B3671" s="1" t="n">
        <v>44478</v>
      </c>
      <c r="C3671" s="1" t="n">
        <v>45192</v>
      </c>
      <c r="D3671" t="inlineStr">
        <is>
          <t>ÖSTERGÖTLANDS LÄN</t>
        </is>
      </c>
      <c r="E3671" t="inlineStr">
        <is>
          <t>LINKÖPING</t>
        </is>
      </c>
      <c r="F3671" t="inlineStr">
        <is>
          <t>Övriga Aktiebolag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56270-2021</t>
        </is>
      </c>
      <c r="B3672" s="1" t="n">
        <v>44479</v>
      </c>
      <c r="C3672" s="1" t="n">
        <v>45192</v>
      </c>
      <c r="D3672" t="inlineStr">
        <is>
          <t>ÖSTERGÖTLANDS LÄN</t>
        </is>
      </c>
      <c r="E3672" t="inlineStr">
        <is>
          <t>ÅTVIDABERG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56255-2021</t>
        </is>
      </c>
      <c r="B3673" s="1" t="n">
        <v>44479</v>
      </c>
      <c r="C3673" s="1" t="n">
        <v>45192</v>
      </c>
      <c r="D3673" t="inlineStr">
        <is>
          <t>ÖSTERGÖTLANDS LÄN</t>
        </is>
      </c>
      <c r="E3673" t="inlineStr">
        <is>
          <t>ÅTVIDABERG</t>
        </is>
      </c>
      <c r="G3673" t="n">
        <v>3.5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56262-2021</t>
        </is>
      </c>
      <c r="B3674" s="1" t="n">
        <v>44479</v>
      </c>
      <c r="C3674" s="1" t="n">
        <v>45192</v>
      </c>
      <c r="D3674" t="inlineStr">
        <is>
          <t>ÖSTERGÖTLANDS LÄN</t>
        </is>
      </c>
      <c r="E3674" t="inlineStr">
        <is>
          <t>ÅTVIDABERG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56587-2021</t>
        </is>
      </c>
      <c r="B3675" s="1" t="n">
        <v>44480</v>
      </c>
      <c r="C3675" s="1" t="n">
        <v>45192</v>
      </c>
      <c r="D3675" t="inlineStr">
        <is>
          <t>ÖSTERGÖTLANDS LÄN</t>
        </is>
      </c>
      <c r="E3675" t="inlineStr">
        <is>
          <t>SÖDERKÖPING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56323-2021</t>
        </is>
      </c>
      <c r="B3676" s="1" t="n">
        <v>44480</v>
      </c>
      <c r="C3676" s="1" t="n">
        <v>45192</v>
      </c>
      <c r="D3676" t="inlineStr">
        <is>
          <t>ÖSTERGÖTLANDS LÄN</t>
        </is>
      </c>
      <c r="E3676" t="inlineStr">
        <is>
          <t>YDRE</t>
        </is>
      </c>
      <c r="F3676" t="inlineStr">
        <is>
          <t>Sveaskog</t>
        </is>
      </c>
      <c r="G3676" t="n">
        <v>4.6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  <c r="U3676">
        <f>HYPERLINK("https://klasma.github.io/Logging_YDRE/knärot/A 56323-2021.png", "A 56323-2021")</f>
        <v/>
      </c>
      <c r="V3676">
        <f>HYPERLINK("https://klasma.github.io/Logging_YDRE/klagomål/A 56323-2021.docx", "A 56323-2021")</f>
        <v/>
      </c>
      <c r="W3676">
        <f>HYPERLINK("https://klasma.github.io/Logging_YDRE/klagomålsmail/A 56323-2021.docx", "A 56323-2021")</f>
        <v/>
      </c>
      <c r="X3676">
        <f>HYPERLINK("https://klasma.github.io/Logging_YDRE/tillsyn/A 56323-2021.docx", "A 56323-2021")</f>
        <v/>
      </c>
      <c r="Y3676">
        <f>HYPERLINK("https://klasma.github.io/Logging_YDRE/tillsynsmail/A 56323-2021.docx", "A 56323-2021")</f>
        <v/>
      </c>
    </row>
    <row r="3677" ht="15" customHeight="1">
      <c r="A3677" t="inlineStr">
        <is>
          <t>A 56458-2021</t>
        </is>
      </c>
      <c r="B3677" s="1" t="n">
        <v>44480</v>
      </c>
      <c r="C3677" s="1" t="n">
        <v>45192</v>
      </c>
      <c r="D3677" t="inlineStr">
        <is>
          <t>ÖSTERGÖTLANDS LÄN</t>
        </is>
      </c>
      <c r="E3677" t="inlineStr">
        <is>
          <t>MJÖLBY</t>
        </is>
      </c>
      <c r="G3677" t="n">
        <v>0.7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56670-2021</t>
        </is>
      </c>
      <c r="B3678" s="1" t="n">
        <v>44481</v>
      </c>
      <c r="C3678" s="1" t="n">
        <v>45192</v>
      </c>
      <c r="D3678" t="inlineStr">
        <is>
          <t>ÖSTERGÖTLANDS LÄN</t>
        </is>
      </c>
      <c r="E3678" t="inlineStr">
        <is>
          <t>SÖDERKÖPING</t>
        </is>
      </c>
      <c r="G3678" t="n">
        <v>1.4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56725-2021</t>
        </is>
      </c>
      <c r="B3679" s="1" t="n">
        <v>44481</v>
      </c>
      <c r="C3679" s="1" t="n">
        <v>45192</v>
      </c>
      <c r="D3679" t="inlineStr">
        <is>
          <t>ÖSTERGÖTLANDS LÄN</t>
        </is>
      </c>
      <c r="E3679" t="inlineStr">
        <is>
          <t>KINDA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56688-2021</t>
        </is>
      </c>
      <c r="B3680" s="1" t="n">
        <v>44481</v>
      </c>
      <c r="C3680" s="1" t="n">
        <v>45192</v>
      </c>
      <c r="D3680" t="inlineStr">
        <is>
          <t>ÖSTERGÖTLANDS LÄN</t>
        </is>
      </c>
      <c r="E3680" t="inlineStr">
        <is>
          <t>LINKÖPING</t>
        </is>
      </c>
      <c r="G3680" t="n">
        <v>1.1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56727-2021</t>
        </is>
      </c>
      <c r="B3681" s="1" t="n">
        <v>44481</v>
      </c>
      <c r="C3681" s="1" t="n">
        <v>45192</v>
      </c>
      <c r="D3681" t="inlineStr">
        <is>
          <t>ÖSTERGÖTLANDS LÄN</t>
        </is>
      </c>
      <c r="E3681" t="inlineStr">
        <is>
          <t>FINSPÅNG</t>
        </is>
      </c>
      <c r="G3681" t="n">
        <v>0.7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56794-2021</t>
        </is>
      </c>
      <c r="B3682" s="1" t="n">
        <v>44481</v>
      </c>
      <c r="C3682" s="1" t="n">
        <v>45192</v>
      </c>
      <c r="D3682" t="inlineStr">
        <is>
          <t>ÖSTERGÖTLANDS LÄN</t>
        </is>
      </c>
      <c r="E3682" t="inlineStr">
        <is>
          <t>BOXHOLM</t>
        </is>
      </c>
      <c r="F3682" t="inlineStr">
        <is>
          <t>Övriga Aktiebolag</t>
        </is>
      </c>
      <c r="G3682" t="n">
        <v>6.1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56883-2021</t>
        </is>
      </c>
      <c r="B3683" s="1" t="n">
        <v>44481</v>
      </c>
      <c r="C3683" s="1" t="n">
        <v>45192</v>
      </c>
      <c r="D3683" t="inlineStr">
        <is>
          <t>ÖSTERGÖTLANDS LÄN</t>
        </is>
      </c>
      <c r="E3683" t="inlineStr">
        <is>
          <t>FINSPÅNG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56800-2021</t>
        </is>
      </c>
      <c r="B3684" s="1" t="n">
        <v>44481</v>
      </c>
      <c r="C3684" s="1" t="n">
        <v>45192</v>
      </c>
      <c r="D3684" t="inlineStr">
        <is>
          <t>ÖSTERGÖTLANDS LÄN</t>
        </is>
      </c>
      <c r="E3684" t="inlineStr">
        <is>
          <t>BOXHOLM</t>
        </is>
      </c>
      <c r="F3684" t="inlineStr">
        <is>
          <t>Övriga Aktiebolag</t>
        </is>
      </c>
      <c r="G3684" t="n">
        <v>2.6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57144-2021</t>
        </is>
      </c>
      <c r="B3685" s="1" t="n">
        <v>44482</v>
      </c>
      <c r="C3685" s="1" t="n">
        <v>45192</v>
      </c>
      <c r="D3685" t="inlineStr">
        <is>
          <t>ÖSTERGÖTLANDS LÄN</t>
        </is>
      </c>
      <c r="E3685" t="inlineStr">
        <is>
          <t>FINSPÅNG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57009-2021</t>
        </is>
      </c>
      <c r="B3686" s="1" t="n">
        <v>44482</v>
      </c>
      <c r="C3686" s="1" t="n">
        <v>45192</v>
      </c>
      <c r="D3686" t="inlineStr">
        <is>
          <t>ÖSTERGÖTLANDS LÄN</t>
        </is>
      </c>
      <c r="E3686" t="inlineStr">
        <is>
          <t>FINSPÅNG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57497-2021</t>
        </is>
      </c>
      <c r="B3687" s="1" t="n">
        <v>44483</v>
      </c>
      <c r="C3687" s="1" t="n">
        <v>45192</v>
      </c>
      <c r="D3687" t="inlineStr">
        <is>
          <t>ÖSTERGÖTLANDS LÄN</t>
        </is>
      </c>
      <c r="E3687" t="inlineStr">
        <is>
          <t>KINDA</t>
        </is>
      </c>
      <c r="G3687" t="n">
        <v>0.5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57449-2021</t>
        </is>
      </c>
      <c r="B3688" s="1" t="n">
        <v>44483</v>
      </c>
      <c r="C3688" s="1" t="n">
        <v>45192</v>
      </c>
      <c r="D3688" t="inlineStr">
        <is>
          <t>ÖSTERGÖTLANDS LÄN</t>
        </is>
      </c>
      <c r="E3688" t="inlineStr">
        <is>
          <t>KINDA</t>
        </is>
      </c>
      <c r="G3688" t="n">
        <v>5.3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57690-2021</t>
        </is>
      </c>
      <c r="B3689" s="1" t="n">
        <v>44484</v>
      </c>
      <c r="C3689" s="1" t="n">
        <v>45192</v>
      </c>
      <c r="D3689" t="inlineStr">
        <is>
          <t>ÖSTERGÖTLANDS LÄN</t>
        </is>
      </c>
      <c r="E3689" t="inlineStr">
        <is>
          <t>KINDA</t>
        </is>
      </c>
      <c r="G3689" t="n">
        <v>2.1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57657-2021</t>
        </is>
      </c>
      <c r="B3690" s="1" t="n">
        <v>44484</v>
      </c>
      <c r="C3690" s="1" t="n">
        <v>45192</v>
      </c>
      <c r="D3690" t="inlineStr">
        <is>
          <t>ÖSTERGÖTLANDS LÄN</t>
        </is>
      </c>
      <c r="E3690" t="inlineStr">
        <is>
          <t>KINDA</t>
        </is>
      </c>
      <c r="G3690" t="n">
        <v>5.7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57694-2021</t>
        </is>
      </c>
      <c r="B3691" s="1" t="n">
        <v>44484</v>
      </c>
      <c r="C3691" s="1" t="n">
        <v>45192</v>
      </c>
      <c r="D3691" t="inlineStr">
        <is>
          <t>ÖSTERGÖTLANDS LÄN</t>
        </is>
      </c>
      <c r="E3691" t="inlineStr">
        <is>
          <t>LINKÖPING</t>
        </is>
      </c>
      <c r="F3691" t="inlineStr">
        <is>
          <t>Allmännings- och besparingsskogar</t>
        </is>
      </c>
      <c r="G3691" t="n">
        <v>1.6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57950-2021</t>
        </is>
      </c>
      <c r="B3692" s="1" t="n">
        <v>44484</v>
      </c>
      <c r="C3692" s="1" t="n">
        <v>45192</v>
      </c>
      <c r="D3692" t="inlineStr">
        <is>
          <t>ÖSTERGÖTLANDS LÄN</t>
        </is>
      </c>
      <c r="E3692" t="inlineStr">
        <is>
          <t>KINDA</t>
        </is>
      </c>
      <c r="G3692" t="n">
        <v>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57750-2021</t>
        </is>
      </c>
      <c r="B3693" s="1" t="n">
        <v>44484</v>
      </c>
      <c r="C3693" s="1" t="n">
        <v>45192</v>
      </c>
      <c r="D3693" t="inlineStr">
        <is>
          <t>ÖSTERGÖTLANDS LÄN</t>
        </is>
      </c>
      <c r="E3693" t="inlineStr">
        <is>
          <t>VADSTENA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57894-2021</t>
        </is>
      </c>
      <c r="B3694" s="1" t="n">
        <v>44486</v>
      </c>
      <c r="C3694" s="1" t="n">
        <v>45192</v>
      </c>
      <c r="D3694" t="inlineStr">
        <is>
          <t>ÖSTERGÖTLANDS LÄN</t>
        </is>
      </c>
      <c r="E3694" t="inlineStr">
        <is>
          <t>KINDA</t>
        </is>
      </c>
      <c r="G3694" t="n">
        <v>0.9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58258-2021</t>
        </is>
      </c>
      <c r="B3695" s="1" t="n">
        <v>44487</v>
      </c>
      <c r="C3695" s="1" t="n">
        <v>45192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58287-2021</t>
        </is>
      </c>
      <c r="B3696" s="1" t="n">
        <v>44487</v>
      </c>
      <c r="C3696" s="1" t="n">
        <v>45192</v>
      </c>
      <c r="D3696" t="inlineStr">
        <is>
          <t>ÖSTERGÖTLANDS LÄN</t>
        </is>
      </c>
      <c r="E3696" t="inlineStr">
        <is>
          <t>LINKÖPING</t>
        </is>
      </c>
      <c r="F3696" t="inlineStr">
        <is>
          <t>Övriga Aktiebolag</t>
        </is>
      </c>
      <c r="G3696" t="n">
        <v>1.5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57981-2021</t>
        </is>
      </c>
      <c r="B3697" s="1" t="n">
        <v>44487</v>
      </c>
      <c r="C3697" s="1" t="n">
        <v>45192</v>
      </c>
      <c r="D3697" t="inlineStr">
        <is>
          <t>ÖSTERGÖTLANDS LÄN</t>
        </is>
      </c>
      <c r="E3697" t="inlineStr">
        <is>
          <t>MOTALA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58114-2021</t>
        </is>
      </c>
      <c r="B3698" s="1" t="n">
        <v>44487</v>
      </c>
      <c r="C3698" s="1" t="n">
        <v>45192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0.8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57992-2021</t>
        </is>
      </c>
      <c r="B3699" s="1" t="n">
        <v>44487</v>
      </c>
      <c r="C3699" s="1" t="n">
        <v>45192</v>
      </c>
      <c r="D3699" t="inlineStr">
        <is>
          <t>ÖSTERGÖTLANDS LÄN</t>
        </is>
      </c>
      <c r="E3699" t="inlineStr">
        <is>
          <t>MOTALA</t>
        </is>
      </c>
      <c r="G3699" t="n">
        <v>2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58052-2021</t>
        </is>
      </c>
      <c r="B3700" s="1" t="n">
        <v>44487</v>
      </c>
      <c r="C3700" s="1" t="n">
        <v>45192</v>
      </c>
      <c r="D3700" t="inlineStr">
        <is>
          <t>ÖSTERGÖTLANDS LÄN</t>
        </is>
      </c>
      <c r="E3700" t="inlineStr">
        <is>
          <t>ÖDESHÖG</t>
        </is>
      </c>
      <c r="F3700" t="inlineStr">
        <is>
          <t>Sveaskog</t>
        </is>
      </c>
      <c r="G3700" t="n">
        <v>4.3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58100-2021</t>
        </is>
      </c>
      <c r="B3701" s="1" t="n">
        <v>44487</v>
      </c>
      <c r="C3701" s="1" t="n">
        <v>45192</v>
      </c>
      <c r="D3701" t="inlineStr">
        <is>
          <t>ÖSTERGÖTLANDS LÄN</t>
        </is>
      </c>
      <c r="E3701" t="inlineStr">
        <is>
          <t>VALDEMARSVIK</t>
        </is>
      </c>
      <c r="G3701" t="n">
        <v>2.3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58266-2021</t>
        </is>
      </c>
      <c r="B3702" s="1" t="n">
        <v>44487</v>
      </c>
      <c r="C3702" s="1" t="n">
        <v>45192</v>
      </c>
      <c r="D3702" t="inlineStr">
        <is>
          <t>ÖSTERGÖTLANDS LÄN</t>
        </is>
      </c>
      <c r="E3702" t="inlineStr">
        <is>
          <t>LINKÖPING</t>
        </is>
      </c>
      <c r="F3702" t="inlineStr">
        <is>
          <t>Övriga Aktiebolag</t>
        </is>
      </c>
      <c r="G3702" t="n">
        <v>3.2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58407-2021</t>
        </is>
      </c>
      <c r="B3703" s="1" t="n">
        <v>44488</v>
      </c>
      <c r="C3703" s="1" t="n">
        <v>45192</v>
      </c>
      <c r="D3703" t="inlineStr">
        <is>
          <t>ÖSTERGÖTLANDS LÄN</t>
        </is>
      </c>
      <c r="E3703" t="inlineStr">
        <is>
          <t>LINKÖPING</t>
        </is>
      </c>
      <c r="G3703" t="n">
        <v>1.1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58525-2021</t>
        </is>
      </c>
      <c r="B3704" s="1" t="n">
        <v>44488</v>
      </c>
      <c r="C3704" s="1" t="n">
        <v>45192</v>
      </c>
      <c r="D3704" t="inlineStr">
        <is>
          <t>ÖSTERGÖTLANDS LÄN</t>
        </is>
      </c>
      <c r="E3704" t="inlineStr">
        <is>
          <t>NORRKÖPING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58791-2021</t>
        </is>
      </c>
      <c r="B3705" s="1" t="n">
        <v>44489</v>
      </c>
      <c r="C3705" s="1" t="n">
        <v>45192</v>
      </c>
      <c r="D3705" t="inlineStr">
        <is>
          <t>ÖSTERGÖTLANDS LÄN</t>
        </is>
      </c>
      <c r="E3705" t="inlineStr">
        <is>
          <t>NORRKÖPING</t>
        </is>
      </c>
      <c r="G3705" t="n">
        <v>3.9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59297-2021</t>
        </is>
      </c>
      <c r="B3706" s="1" t="n">
        <v>44490</v>
      </c>
      <c r="C3706" s="1" t="n">
        <v>45192</v>
      </c>
      <c r="D3706" t="inlineStr">
        <is>
          <t>ÖSTERGÖTLANDS LÄN</t>
        </is>
      </c>
      <c r="E3706" t="inlineStr">
        <is>
          <t>YDRE</t>
        </is>
      </c>
      <c r="G3706" t="n">
        <v>2.9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59092-2021</t>
        </is>
      </c>
      <c r="B3707" s="1" t="n">
        <v>44490</v>
      </c>
      <c r="C3707" s="1" t="n">
        <v>45192</v>
      </c>
      <c r="D3707" t="inlineStr">
        <is>
          <t>ÖSTERGÖTLANDS LÄN</t>
        </is>
      </c>
      <c r="E3707" t="inlineStr">
        <is>
          <t>NORRKÖPING</t>
        </is>
      </c>
      <c r="G3707" t="n">
        <v>8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59296-2021</t>
        </is>
      </c>
      <c r="B3708" s="1" t="n">
        <v>44490</v>
      </c>
      <c r="C3708" s="1" t="n">
        <v>45192</v>
      </c>
      <c r="D3708" t="inlineStr">
        <is>
          <t>ÖSTERGÖTLANDS LÄN</t>
        </is>
      </c>
      <c r="E3708" t="inlineStr">
        <is>
          <t>YDRE</t>
        </is>
      </c>
      <c r="G3708" t="n">
        <v>4.1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59412-2021</t>
        </is>
      </c>
      <c r="B3709" s="1" t="n">
        <v>44491</v>
      </c>
      <c r="C3709" s="1" t="n">
        <v>45192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59410-2021</t>
        </is>
      </c>
      <c r="B3710" s="1" t="n">
        <v>44491</v>
      </c>
      <c r="C3710" s="1" t="n">
        <v>45192</v>
      </c>
      <c r="D3710" t="inlineStr">
        <is>
          <t>ÖSTERGÖTLANDS LÄN</t>
        </is>
      </c>
      <c r="E3710" t="inlineStr">
        <is>
          <t>YDRE</t>
        </is>
      </c>
      <c r="F3710" t="inlineStr">
        <is>
          <t>Sveaskog</t>
        </is>
      </c>
      <c r="G3710" t="n">
        <v>1.4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59468-2021</t>
        </is>
      </c>
      <c r="B3711" s="1" t="n">
        <v>44491</v>
      </c>
      <c r="C3711" s="1" t="n">
        <v>45192</v>
      </c>
      <c r="D3711" t="inlineStr">
        <is>
          <t>ÖSTERGÖTLANDS LÄN</t>
        </is>
      </c>
      <c r="E3711" t="inlineStr">
        <is>
          <t>FINSPÅNG</t>
        </is>
      </c>
      <c r="G3711" t="n">
        <v>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59894-2021</t>
        </is>
      </c>
      <c r="B3712" s="1" t="n">
        <v>44494</v>
      </c>
      <c r="C3712" s="1" t="n">
        <v>45192</v>
      </c>
      <c r="D3712" t="inlineStr">
        <is>
          <t>ÖSTERGÖTLANDS LÄN</t>
        </is>
      </c>
      <c r="E3712" t="inlineStr">
        <is>
          <t>FINSPÅNG</t>
        </is>
      </c>
      <c r="G3712" t="n">
        <v>4.8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59768-2021</t>
        </is>
      </c>
      <c r="B3713" s="1" t="n">
        <v>44494</v>
      </c>
      <c r="C3713" s="1" t="n">
        <v>45192</v>
      </c>
      <c r="D3713" t="inlineStr">
        <is>
          <t>ÖSTERGÖTLANDS LÄN</t>
        </is>
      </c>
      <c r="E3713" t="inlineStr">
        <is>
          <t>NORRKÖPING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59765-2021</t>
        </is>
      </c>
      <c r="B3714" s="1" t="n">
        <v>44494</v>
      </c>
      <c r="C3714" s="1" t="n">
        <v>45192</v>
      </c>
      <c r="D3714" t="inlineStr">
        <is>
          <t>ÖSTERGÖTLANDS LÄN</t>
        </is>
      </c>
      <c r="E3714" t="inlineStr">
        <is>
          <t>NORRKÖPING</t>
        </is>
      </c>
      <c r="G3714" t="n">
        <v>3.3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60029-2021</t>
        </is>
      </c>
      <c r="B3715" s="1" t="n">
        <v>44494</v>
      </c>
      <c r="C3715" s="1" t="n">
        <v>45192</v>
      </c>
      <c r="D3715" t="inlineStr">
        <is>
          <t>ÖSTERGÖTLANDS LÄN</t>
        </is>
      </c>
      <c r="E3715" t="inlineStr">
        <is>
          <t>MOTALA</t>
        </is>
      </c>
      <c r="G3715" t="n">
        <v>4.7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59722-2021</t>
        </is>
      </c>
      <c r="B3716" s="1" t="n">
        <v>44494</v>
      </c>
      <c r="C3716" s="1" t="n">
        <v>45192</v>
      </c>
      <c r="D3716" t="inlineStr">
        <is>
          <t>ÖSTERGÖTLANDS LÄN</t>
        </is>
      </c>
      <c r="E3716" t="inlineStr">
        <is>
          <t>ÅTVIDABERG</t>
        </is>
      </c>
      <c r="F3716" t="inlineStr">
        <is>
          <t>Sveaskog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59792-2021</t>
        </is>
      </c>
      <c r="B3717" s="1" t="n">
        <v>44494</v>
      </c>
      <c r="C3717" s="1" t="n">
        <v>45192</v>
      </c>
      <c r="D3717" t="inlineStr">
        <is>
          <t>ÖSTERGÖTLANDS LÄN</t>
        </is>
      </c>
      <c r="E3717" t="inlineStr">
        <is>
          <t>SÖDERKÖPING</t>
        </is>
      </c>
      <c r="G3717" t="n">
        <v>0.5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59811-2021</t>
        </is>
      </c>
      <c r="B3718" s="1" t="n">
        <v>44494</v>
      </c>
      <c r="C3718" s="1" t="n">
        <v>45192</v>
      </c>
      <c r="D3718" t="inlineStr">
        <is>
          <t>ÖSTERGÖTLANDS LÄN</t>
        </is>
      </c>
      <c r="E3718" t="inlineStr">
        <is>
          <t>FINSPÅNG</t>
        </is>
      </c>
      <c r="G3718" t="n">
        <v>1.2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60527-2021</t>
        </is>
      </c>
      <c r="B3719" s="1" t="n">
        <v>44495</v>
      </c>
      <c r="C3719" s="1" t="n">
        <v>45192</v>
      </c>
      <c r="D3719" t="inlineStr">
        <is>
          <t>ÖSTERGÖTLANDS LÄN</t>
        </is>
      </c>
      <c r="E3719" t="inlineStr">
        <is>
          <t>ÅTVIDABERG</t>
        </is>
      </c>
      <c r="F3719" t="inlineStr">
        <is>
          <t>Övriga Aktiebolag</t>
        </is>
      </c>
      <c r="G3719" t="n">
        <v>0.7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60153-2021</t>
        </is>
      </c>
      <c r="B3720" s="1" t="n">
        <v>44495</v>
      </c>
      <c r="C3720" s="1" t="n">
        <v>45192</v>
      </c>
      <c r="D3720" t="inlineStr">
        <is>
          <t>ÖSTERGÖTLANDS LÄN</t>
        </is>
      </c>
      <c r="E3720" t="inlineStr">
        <is>
          <t>SÖDERKÖPING</t>
        </is>
      </c>
      <c r="G3720" t="n">
        <v>4.7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60516-2021</t>
        </is>
      </c>
      <c r="B3721" s="1" t="n">
        <v>44495</v>
      </c>
      <c r="C3721" s="1" t="n">
        <v>45192</v>
      </c>
      <c r="D3721" t="inlineStr">
        <is>
          <t>ÖSTERGÖTLANDS LÄN</t>
        </is>
      </c>
      <c r="E3721" t="inlineStr">
        <is>
          <t>ÅTVIDABERG</t>
        </is>
      </c>
      <c r="F3721" t="inlineStr">
        <is>
          <t>Övriga Aktiebolag</t>
        </is>
      </c>
      <c r="G3721" t="n">
        <v>0.6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60160-2021</t>
        </is>
      </c>
      <c r="B3722" s="1" t="n">
        <v>44495</v>
      </c>
      <c r="C3722" s="1" t="n">
        <v>45192</v>
      </c>
      <c r="D3722" t="inlineStr">
        <is>
          <t>ÖSTERGÖTLANDS LÄN</t>
        </is>
      </c>
      <c r="E3722" t="inlineStr">
        <is>
          <t>SÖDERKÖPING</t>
        </is>
      </c>
      <c r="G3722" t="n">
        <v>2.1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60639-2021</t>
        </is>
      </c>
      <c r="B3723" s="1" t="n">
        <v>44496</v>
      </c>
      <c r="C3723" s="1" t="n">
        <v>45192</v>
      </c>
      <c r="D3723" t="inlineStr">
        <is>
          <t>ÖSTERGÖTLANDS LÄN</t>
        </is>
      </c>
      <c r="E3723" t="inlineStr">
        <is>
          <t>LINKÖPING</t>
        </is>
      </c>
      <c r="G3723" t="n">
        <v>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60618-2021</t>
        </is>
      </c>
      <c r="B3724" s="1" t="n">
        <v>44496</v>
      </c>
      <c r="C3724" s="1" t="n">
        <v>45192</v>
      </c>
      <c r="D3724" t="inlineStr">
        <is>
          <t>ÖSTERGÖTLANDS LÄN</t>
        </is>
      </c>
      <c r="E3724" t="inlineStr">
        <is>
          <t>MOTALA</t>
        </is>
      </c>
      <c r="G3724" t="n">
        <v>4.3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61156-2021</t>
        </is>
      </c>
      <c r="B3725" s="1" t="n">
        <v>44497</v>
      </c>
      <c r="C3725" s="1" t="n">
        <v>45192</v>
      </c>
      <c r="D3725" t="inlineStr">
        <is>
          <t>ÖSTERGÖTLANDS LÄN</t>
        </is>
      </c>
      <c r="E3725" t="inlineStr">
        <is>
          <t>KINDA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60980-2021</t>
        </is>
      </c>
      <c r="B3726" s="1" t="n">
        <v>44497</v>
      </c>
      <c r="C3726" s="1" t="n">
        <v>45192</v>
      </c>
      <c r="D3726" t="inlineStr">
        <is>
          <t>ÖSTERGÖTLANDS LÄN</t>
        </is>
      </c>
      <c r="E3726" t="inlineStr">
        <is>
          <t>NORRKÖPING</t>
        </is>
      </c>
      <c r="G3726" t="n">
        <v>1.7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61066-2021</t>
        </is>
      </c>
      <c r="B3727" s="1" t="n">
        <v>44497</v>
      </c>
      <c r="C3727" s="1" t="n">
        <v>45192</v>
      </c>
      <c r="D3727" t="inlineStr">
        <is>
          <t>ÖSTERGÖTLANDS LÄN</t>
        </is>
      </c>
      <c r="E3727" t="inlineStr">
        <is>
          <t>BOXHOLM</t>
        </is>
      </c>
      <c r="G3727" t="n">
        <v>6.9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61153-2021</t>
        </is>
      </c>
      <c r="B3728" s="1" t="n">
        <v>44497</v>
      </c>
      <c r="C3728" s="1" t="n">
        <v>45192</v>
      </c>
      <c r="D3728" t="inlineStr">
        <is>
          <t>ÖSTERGÖTLANDS LÄN</t>
        </is>
      </c>
      <c r="E3728" t="inlineStr">
        <is>
          <t>LINKÖPING</t>
        </is>
      </c>
      <c r="G3728" t="n">
        <v>1.7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61243-2021</t>
        </is>
      </c>
      <c r="B3729" s="1" t="n">
        <v>44498</v>
      </c>
      <c r="C3729" s="1" t="n">
        <v>45192</v>
      </c>
      <c r="D3729" t="inlineStr">
        <is>
          <t>ÖSTERGÖTLANDS LÄN</t>
        </is>
      </c>
      <c r="E3729" t="inlineStr">
        <is>
          <t>LINKÖPING</t>
        </is>
      </c>
      <c r="G3729" t="n">
        <v>2.1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61210-2021</t>
        </is>
      </c>
      <c r="B3730" s="1" t="n">
        <v>44498</v>
      </c>
      <c r="C3730" s="1" t="n">
        <v>45192</v>
      </c>
      <c r="D3730" t="inlineStr">
        <is>
          <t>ÖSTERGÖTLANDS LÄN</t>
        </is>
      </c>
      <c r="E3730" t="inlineStr">
        <is>
          <t>BOXHOLM</t>
        </is>
      </c>
      <c r="F3730" t="inlineStr">
        <is>
          <t>Övriga Aktiebolag</t>
        </is>
      </c>
      <c r="G3730" t="n">
        <v>10.5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61393-2021</t>
        </is>
      </c>
      <c r="B3731" s="1" t="n">
        <v>44500</v>
      </c>
      <c r="C3731" s="1" t="n">
        <v>45192</v>
      </c>
      <c r="D3731" t="inlineStr">
        <is>
          <t>ÖSTERGÖTLANDS LÄN</t>
        </is>
      </c>
      <c r="E3731" t="inlineStr">
        <is>
          <t>KINDA</t>
        </is>
      </c>
      <c r="G3731" t="n">
        <v>3.6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61509-2021</t>
        </is>
      </c>
      <c r="B3732" s="1" t="n">
        <v>44501</v>
      </c>
      <c r="C3732" s="1" t="n">
        <v>45192</v>
      </c>
      <c r="D3732" t="inlineStr">
        <is>
          <t>ÖSTERGÖTLANDS LÄN</t>
        </is>
      </c>
      <c r="E3732" t="inlineStr">
        <is>
          <t>LINKÖPING</t>
        </is>
      </c>
      <c r="F3732" t="inlineStr">
        <is>
          <t>Övriga Aktiebolag</t>
        </is>
      </c>
      <c r="G3732" t="n">
        <v>3.7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61695-2021</t>
        </is>
      </c>
      <c r="B3733" s="1" t="n">
        <v>44501</v>
      </c>
      <c r="C3733" s="1" t="n">
        <v>45192</v>
      </c>
      <c r="D3733" t="inlineStr">
        <is>
          <t>ÖSTERGÖTLANDS LÄN</t>
        </is>
      </c>
      <c r="E3733" t="inlineStr">
        <is>
          <t>FINSPÅNG</t>
        </is>
      </c>
      <c r="F3733" t="inlineStr">
        <is>
          <t>Sveaskog</t>
        </is>
      </c>
      <c r="G3733" t="n">
        <v>1.7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61523-2021</t>
        </is>
      </c>
      <c r="B3734" s="1" t="n">
        <v>44501</v>
      </c>
      <c r="C3734" s="1" t="n">
        <v>45192</v>
      </c>
      <c r="D3734" t="inlineStr">
        <is>
          <t>ÖSTERGÖTLANDS LÄN</t>
        </is>
      </c>
      <c r="E3734" t="inlineStr">
        <is>
          <t>KINDA</t>
        </is>
      </c>
      <c r="G3734" t="n">
        <v>2.5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61636-2021</t>
        </is>
      </c>
      <c r="B3735" s="1" t="n">
        <v>44501</v>
      </c>
      <c r="C3735" s="1" t="n">
        <v>45192</v>
      </c>
      <c r="D3735" t="inlineStr">
        <is>
          <t>ÖSTERGÖTLANDS LÄN</t>
        </is>
      </c>
      <c r="E3735" t="inlineStr">
        <is>
          <t>YDRE</t>
        </is>
      </c>
      <c r="G3735" t="n">
        <v>1.5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62019-2021</t>
        </is>
      </c>
      <c r="B3736" s="1" t="n">
        <v>44501</v>
      </c>
      <c r="C3736" s="1" t="n">
        <v>45192</v>
      </c>
      <c r="D3736" t="inlineStr">
        <is>
          <t>ÖSTERGÖTLANDS LÄN</t>
        </is>
      </c>
      <c r="E3736" t="inlineStr">
        <is>
          <t>MOTALA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61880-2021</t>
        </is>
      </c>
      <c r="B3737" s="1" t="n">
        <v>44502</v>
      </c>
      <c r="C3737" s="1" t="n">
        <v>45192</v>
      </c>
      <c r="D3737" t="inlineStr">
        <is>
          <t>ÖSTERGÖTLANDS LÄN</t>
        </is>
      </c>
      <c r="E3737" t="inlineStr">
        <is>
          <t>ÖDESHÖG</t>
        </is>
      </c>
      <c r="G3737" t="n">
        <v>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62406-2021</t>
        </is>
      </c>
      <c r="B3738" s="1" t="n">
        <v>44502</v>
      </c>
      <c r="C3738" s="1" t="n">
        <v>45192</v>
      </c>
      <c r="D3738" t="inlineStr">
        <is>
          <t>ÖSTERGÖTLANDS LÄN</t>
        </is>
      </c>
      <c r="E3738" t="inlineStr">
        <is>
          <t>NORRKÖPING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61973-2021</t>
        </is>
      </c>
      <c r="B3739" s="1" t="n">
        <v>44502</v>
      </c>
      <c r="C3739" s="1" t="n">
        <v>45192</v>
      </c>
      <c r="D3739" t="inlineStr">
        <is>
          <t>ÖSTERGÖTLANDS LÄN</t>
        </is>
      </c>
      <c r="E3739" t="inlineStr">
        <is>
          <t>NORRKÖPING</t>
        </is>
      </c>
      <c r="G3739" t="n">
        <v>1.3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62006-2021</t>
        </is>
      </c>
      <c r="B3740" s="1" t="n">
        <v>44502</v>
      </c>
      <c r="C3740" s="1" t="n">
        <v>45192</v>
      </c>
      <c r="D3740" t="inlineStr">
        <is>
          <t>ÖSTERGÖTLANDS LÄN</t>
        </is>
      </c>
      <c r="E3740" t="inlineStr">
        <is>
          <t>YDRE</t>
        </is>
      </c>
      <c r="G3740" t="n">
        <v>1.7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61942-2021</t>
        </is>
      </c>
      <c r="B3741" s="1" t="n">
        <v>44502</v>
      </c>
      <c r="C3741" s="1" t="n">
        <v>45192</v>
      </c>
      <c r="D3741" t="inlineStr">
        <is>
          <t>ÖSTERGÖTLANDS LÄN</t>
        </is>
      </c>
      <c r="E3741" t="inlineStr">
        <is>
          <t>YDRE</t>
        </is>
      </c>
      <c r="G3741" t="n">
        <v>0.9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62196-2021</t>
        </is>
      </c>
      <c r="B3742" s="1" t="n">
        <v>44502</v>
      </c>
      <c r="C3742" s="1" t="n">
        <v>45192</v>
      </c>
      <c r="D3742" t="inlineStr">
        <is>
          <t>ÖSTERGÖTLANDS LÄN</t>
        </is>
      </c>
      <c r="E3742" t="inlineStr">
        <is>
          <t>FINSPÅNG</t>
        </is>
      </c>
      <c r="F3742" t="inlineStr">
        <is>
          <t>Övriga Aktiebolag</t>
        </is>
      </c>
      <c r="G3742" t="n">
        <v>0.4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62565-2021</t>
        </is>
      </c>
      <c r="B3743" s="1" t="n">
        <v>44502</v>
      </c>
      <c r="C3743" s="1" t="n">
        <v>45192</v>
      </c>
      <c r="D3743" t="inlineStr">
        <is>
          <t>ÖSTERGÖTLANDS LÄN</t>
        </is>
      </c>
      <c r="E3743" t="inlineStr">
        <is>
          <t>KINDA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62542-2021</t>
        </is>
      </c>
      <c r="B3744" s="1" t="n">
        <v>44503</v>
      </c>
      <c r="C3744" s="1" t="n">
        <v>45192</v>
      </c>
      <c r="D3744" t="inlineStr">
        <is>
          <t>ÖSTERGÖTLANDS LÄN</t>
        </is>
      </c>
      <c r="E3744" t="inlineStr">
        <is>
          <t>MOTALA</t>
        </is>
      </c>
      <c r="G3744" t="n">
        <v>0.8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62556-2021</t>
        </is>
      </c>
      <c r="B3745" s="1" t="n">
        <v>44503</v>
      </c>
      <c r="C3745" s="1" t="n">
        <v>45192</v>
      </c>
      <c r="D3745" t="inlineStr">
        <is>
          <t>ÖSTERGÖTLANDS LÄN</t>
        </is>
      </c>
      <c r="E3745" t="inlineStr">
        <is>
          <t>MOTALA</t>
        </is>
      </c>
      <c r="G3745" t="n">
        <v>1.8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62771-2021</t>
        </is>
      </c>
      <c r="B3746" s="1" t="n">
        <v>44503</v>
      </c>
      <c r="C3746" s="1" t="n">
        <v>45192</v>
      </c>
      <c r="D3746" t="inlineStr">
        <is>
          <t>ÖSTERGÖTLANDS LÄN</t>
        </is>
      </c>
      <c r="E3746" t="inlineStr">
        <is>
          <t>NORRKÖPING</t>
        </is>
      </c>
      <c r="F3746" t="inlineStr">
        <is>
          <t>Allmännings- och besparingsskogar</t>
        </is>
      </c>
      <c r="G3746" t="n">
        <v>6.6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62445-2021</t>
        </is>
      </c>
      <c r="B3747" s="1" t="n">
        <v>44503</v>
      </c>
      <c r="C3747" s="1" t="n">
        <v>45192</v>
      </c>
      <c r="D3747" t="inlineStr">
        <is>
          <t>ÖSTERGÖTLANDS LÄN</t>
        </is>
      </c>
      <c r="E3747" t="inlineStr">
        <is>
          <t>FINSPÅNG</t>
        </is>
      </c>
      <c r="G3747" t="n">
        <v>0.4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62549-2021</t>
        </is>
      </c>
      <c r="B3748" s="1" t="n">
        <v>44503</v>
      </c>
      <c r="C3748" s="1" t="n">
        <v>45192</v>
      </c>
      <c r="D3748" t="inlineStr">
        <is>
          <t>ÖSTERGÖTLANDS LÄN</t>
        </is>
      </c>
      <c r="E3748" t="inlineStr">
        <is>
          <t>MOTALA</t>
        </is>
      </c>
      <c r="G3748" t="n">
        <v>1.8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62574-2021</t>
        </is>
      </c>
      <c r="B3749" s="1" t="n">
        <v>44503</v>
      </c>
      <c r="C3749" s="1" t="n">
        <v>45192</v>
      </c>
      <c r="D3749" t="inlineStr">
        <is>
          <t>ÖSTERGÖTLANDS LÄN</t>
        </is>
      </c>
      <c r="E3749" t="inlineStr">
        <is>
          <t>NORRKÖPING</t>
        </is>
      </c>
      <c r="F3749" t="inlineStr">
        <is>
          <t>Holmen skog AB</t>
        </is>
      </c>
      <c r="G3749" t="n">
        <v>1.3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62597-2021</t>
        </is>
      </c>
      <c r="B3750" s="1" t="n">
        <v>44503</v>
      </c>
      <c r="C3750" s="1" t="n">
        <v>45192</v>
      </c>
      <c r="D3750" t="inlineStr">
        <is>
          <t>ÖSTERGÖTLANDS LÄN</t>
        </is>
      </c>
      <c r="E3750" t="inlineStr">
        <is>
          <t>FINSPÅNG</t>
        </is>
      </c>
      <c r="F3750" t="inlineStr">
        <is>
          <t>Holmen skog AB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62548-2021</t>
        </is>
      </c>
      <c r="B3751" s="1" t="n">
        <v>44503</v>
      </c>
      <c r="C3751" s="1" t="n">
        <v>45192</v>
      </c>
      <c r="D3751" t="inlineStr">
        <is>
          <t>ÖSTERGÖTLANDS LÄN</t>
        </is>
      </c>
      <c r="E3751" t="inlineStr">
        <is>
          <t>MOTALA</t>
        </is>
      </c>
      <c r="G3751" t="n">
        <v>1.2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62509-2021</t>
        </is>
      </c>
      <c r="B3752" s="1" t="n">
        <v>44503</v>
      </c>
      <c r="C3752" s="1" t="n">
        <v>45192</v>
      </c>
      <c r="D3752" t="inlineStr">
        <is>
          <t>ÖSTERGÖTLANDS LÄN</t>
        </is>
      </c>
      <c r="E3752" t="inlineStr">
        <is>
          <t>YDRE</t>
        </is>
      </c>
      <c r="F3752" t="inlineStr">
        <is>
          <t>Sveaskog</t>
        </is>
      </c>
      <c r="G3752" t="n">
        <v>3.5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62550-2021</t>
        </is>
      </c>
      <c r="B3753" s="1" t="n">
        <v>44503</v>
      </c>
      <c r="C3753" s="1" t="n">
        <v>45192</v>
      </c>
      <c r="D3753" t="inlineStr">
        <is>
          <t>ÖSTERGÖTLANDS LÄN</t>
        </is>
      </c>
      <c r="E3753" t="inlineStr">
        <is>
          <t>MOTALA</t>
        </is>
      </c>
      <c r="G3753" t="n">
        <v>1.2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62746-2021</t>
        </is>
      </c>
      <c r="B3754" s="1" t="n">
        <v>44503</v>
      </c>
      <c r="C3754" s="1" t="n">
        <v>45192</v>
      </c>
      <c r="D3754" t="inlineStr">
        <is>
          <t>ÖSTERGÖTLANDS LÄN</t>
        </is>
      </c>
      <c r="E3754" t="inlineStr">
        <is>
          <t>NORRKÖPING</t>
        </is>
      </c>
      <c r="F3754" t="inlineStr">
        <is>
          <t>Allmännings- och besparingsskogar</t>
        </is>
      </c>
      <c r="G3754" t="n">
        <v>15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62736-2021</t>
        </is>
      </c>
      <c r="B3755" s="1" t="n">
        <v>44504</v>
      </c>
      <c r="C3755" s="1" t="n">
        <v>45192</v>
      </c>
      <c r="D3755" t="inlineStr">
        <is>
          <t>ÖSTERGÖTLANDS LÄN</t>
        </is>
      </c>
      <c r="E3755" t="inlineStr">
        <is>
          <t>FINSPÅNG</t>
        </is>
      </c>
      <c r="F3755" t="inlineStr">
        <is>
          <t>Holmen skog AB</t>
        </is>
      </c>
      <c r="G3755" t="n">
        <v>1.2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62808-2021</t>
        </is>
      </c>
      <c r="B3756" s="1" t="n">
        <v>44504</v>
      </c>
      <c r="C3756" s="1" t="n">
        <v>45192</v>
      </c>
      <c r="D3756" t="inlineStr">
        <is>
          <t>ÖSTERGÖTLANDS LÄN</t>
        </is>
      </c>
      <c r="E3756" t="inlineStr">
        <is>
          <t>NORRKÖPING</t>
        </is>
      </c>
      <c r="F3756" t="inlineStr">
        <is>
          <t>Allmännings- och besparingsskogar</t>
        </is>
      </c>
      <c r="G3756" t="n">
        <v>9.300000000000001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62925-2021</t>
        </is>
      </c>
      <c r="B3757" s="1" t="n">
        <v>44504</v>
      </c>
      <c r="C3757" s="1" t="n">
        <v>45192</v>
      </c>
      <c r="D3757" t="inlineStr">
        <is>
          <t>ÖSTERGÖTLANDS LÄN</t>
        </is>
      </c>
      <c r="E3757" t="inlineStr">
        <is>
          <t>LINKÖPING</t>
        </is>
      </c>
      <c r="F3757" t="inlineStr">
        <is>
          <t>Övriga Aktiebolag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62919-2021</t>
        </is>
      </c>
      <c r="B3758" s="1" t="n">
        <v>44504</v>
      </c>
      <c r="C3758" s="1" t="n">
        <v>45192</v>
      </c>
      <c r="D3758" t="inlineStr">
        <is>
          <t>ÖSTERGÖTLANDS LÄN</t>
        </is>
      </c>
      <c r="E3758" t="inlineStr">
        <is>
          <t>ÖDESHÖG</t>
        </is>
      </c>
      <c r="G3758" t="n">
        <v>1.3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62973-2021</t>
        </is>
      </c>
      <c r="B3759" s="1" t="n">
        <v>44504</v>
      </c>
      <c r="C3759" s="1" t="n">
        <v>45192</v>
      </c>
      <c r="D3759" t="inlineStr">
        <is>
          <t>ÖSTERGÖTLANDS LÄN</t>
        </is>
      </c>
      <c r="E3759" t="inlineStr">
        <is>
          <t>NORRKÖPING</t>
        </is>
      </c>
      <c r="F3759" t="inlineStr">
        <is>
          <t>Allmännings- och besparingsskogar</t>
        </is>
      </c>
      <c r="G3759" t="n">
        <v>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63146-2021</t>
        </is>
      </c>
      <c r="B3760" s="1" t="n">
        <v>44505</v>
      </c>
      <c r="C3760" s="1" t="n">
        <v>45192</v>
      </c>
      <c r="D3760" t="inlineStr">
        <is>
          <t>ÖSTERGÖTLANDS LÄN</t>
        </is>
      </c>
      <c r="E3760" t="inlineStr">
        <is>
          <t>SÖDERKÖPING</t>
        </is>
      </c>
      <c r="G3760" t="n">
        <v>1.3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62974-2021</t>
        </is>
      </c>
      <c r="B3761" s="1" t="n">
        <v>44505</v>
      </c>
      <c r="C3761" s="1" t="n">
        <v>45192</v>
      </c>
      <c r="D3761" t="inlineStr">
        <is>
          <t>ÖSTERGÖTLANDS LÄN</t>
        </is>
      </c>
      <c r="E3761" t="inlineStr">
        <is>
          <t>KINDA</t>
        </is>
      </c>
      <c r="G3761" t="n">
        <v>3.8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63202-2021</t>
        </is>
      </c>
      <c r="B3762" s="1" t="n">
        <v>44507</v>
      </c>
      <c r="C3762" s="1" t="n">
        <v>45192</v>
      </c>
      <c r="D3762" t="inlineStr">
        <is>
          <t>ÖSTERGÖTLANDS LÄN</t>
        </is>
      </c>
      <c r="E3762" t="inlineStr">
        <is>
          <t>BOXHOLM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63321-2021</t>
        </is>
      </c>
      <c r="B3763" s="1" t="n">
        <v>44508</v>
      </c>
      <c r="C3763" s="1" t="n">
        <v>45192</v>
      </c>
      <c r="D3763" t="inlineStr">
        <is>
          <t>ÖSTERGÖTLANDS LÄN</t>
        </is>
      </c>
      <c r="E3763" t="inlineStr">
        <is>
          <t>FINSPÅNG</t>
        </is>
      </c>
      <c r="G3763" t="n">
        <v>2.9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63845-2021</t>
        </is>
      </c>
      <c r="B3764" s="1" t="n">
        <v>44509</v>
      </c>
      <c r="C3764" s="1" t="n">
        <v>45192</v>
      </c>
      <c r="D3764" t="inlineStr">
        <is>
          <t>ÖSTERGÖTLANDS LÄN</t>
        </is>
      </c>
      <c r="E3764" t="inlineStr">
        <is>
          <t>LINKÖPING</t>
        </is>
      </c>
      <c r="G3764" t="n">
        <v>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63935-2021</t>
        </is>
      </c>
      <c r="B3765" s="1" t="n">
        <v>44509</v>
      </c>
      <c r="C3765" s="1" t="n">
        <v>45192</v>
      </c>
      <c r="D3765" t="inlineStr">
        <is>
          <t>ÖSTERGÖTLANDS LÄN</t>
        </is>
      </c>
      <c r="E3765" t="inlineStr">
        <is>
          <t>LINKÖPING</t>
        </is>
      </c>
      <c r="F3765" t="inlineStr">
        <is>
          <t>Övriga statliga verk och myndigheter</t>
        </is>
      </c>
      <c r="G3765" t="n">
        <v>2.8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64267-2021</t>
        </is>
      </c>
      <c r="B3766" s="1" t="n">
        <v>44510</v>
      </c>
      <c r="C3766" s="1" t="n">
        <v>45192</v>
      </c>
      <c r="D3766" t="inlineStr">
        <is>
          <t>ÖSTERGÖTLANDS LÄN</t>
        </is>
      </c>
      <c r="E3766" t="inlineStr">
        <is>
          <t>LINKÖPING</t>
        </is>
      </c>
      <c r="G3766" t="n">
        <v>3.1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64195-2021</t>
        </is>
      </c>
      <c r="B3767" s="1" t="n">
        <v>44510</v>
      </c>
      <c r="C3767" s="1" t="n">
        <v>45192</v>
      </c>
      <c r="D3767" t="inlineStr">
        <is>
          <t>ÖSTERGÖTLANDS LÄN</t>
        </is>
      </c>
      <c r="E3767" t="inlineStr">
        <is>
          <t>LINKÖPING</t>
        </is>
      </c>
      <c r="G3767" t="n">
        <v>1.3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64269-2021</t>
        </is>
      </c>
      <c r="B3768" s="1" t="n">
        <v>44510</v>
      </c>
      <c r="C3768" s="1" t="n">
        <v>45192</v>
      </c>
      <c r="D3768" t="inlineStr">
        <is>
          <t>ÖSTERGÖTLANDS LÄN</t>
        </is>
      </c>
      <c r="E3768" t="inlineStr">
        <is>
          <t>LINKÖPING</t>
        </is>
      </c>
      <c r="G3768" t="n">
        <v>1.9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64263-2021</t>
        </is>
      </c>
      <c r="B3769" s="1" t="n">
        <v>44510</v>
      </c>
      <c r="C3769" s="1" t="n">
        <v>45192</v>
      </c>
      <c r="D3769" t="inlineStr">
        <is>
          <t>ÖSTERGÖTLANDS LÄN</t>
        </is>
      </c>
      <c r="E3769" t="inlineStr">
        <is>
          <t>YDRE</t>
        </is>
      </c>
      <c r="G3769" t="n">
        <v>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64441-2021</t>
        </is>
      </c>
      <c r="B3770" s="1" t="n">
        <v>44511</v>
      </c>
      <c r="C3770" s="1" t="n">
        <v>45192</v>
      </c>
      <c r="D3770" t="inlineStr">
        <is>
          <t>ÖSTERGÖTLANDS LÄN</t>
        </is>
      </c>
      <c r="E3770" t="inlineStr">
        <is>
          <t>LINKÖPING</t>
        </is>
      </c>
      <c r="G3770" t="n">
        <v>2.4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64622-2021</t>
        </is>
      </c>
      <c r="B3771" s="1" t="n">
        <v>44511</v>
      </c>
      <c r="C3771" s="1" t="n">
        <v>45192</v>
      </c>
      <c r="D3771" t="inlineStr">
        <is>
          <t>ÖSTERGÖTLANDS LÄN</t>
        </is>
      </c>
      <c r="E3771" t="inlineStr">
        <is>
          <t>ÖDESHÖG</t>
        </is>
      </c>
      <c r="G3771" t="n">
        <v>1.8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64802-2021</t>
        </is>
      </c>
      <c r="B3772" s="1" t="n">
        <v>44512</v>
      </c>
      <c r="C3772" s="1" t="n">
        <v>45192</v>
      </c>
      <c r="D3772" t="inlineStr">
        <is>
          <t>ÖSTERGÖTLANDS LÄN</t>
        </is>
      </c>
      <c r="E3772" t="inlineStr">
        <is>
          <t>ÖDESHÖG</t>
        </is>
      </c>
      <c r="G3772" t="n">
        <v>2.5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64898-2021</t>
        </is>
      </c>
      <c r="B3773" s="1" t="n">
        <v>44512</v>
      </c>
      <c r="C3773" s="1" t="n">
        <v>45192</v>
      </c>
      <c r="D3773" t="inlineStr">
        <is>
          <t>ÖSTERGÖTLANDS LÄN</t>
        </is>
      </c>
      <c r="E3773" t="inlineStr">
        <is>
          <t>NORRKÖPING</t>
        </is>
      </c>
      <c r="F3773" t="inlineStr">
        <is>
          <t>Holmen skog AB</t>
        </is>
      </c>
      <c r="G3773" t="n">
        <v>0.6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65396-2021</t>
        </is>
      </c>
      <c r="B3774" s="1" t="n">
        <v>44515</v>
      </c>
      <c r="C3774" s="1" t="n">
        <v>45192</v>
      </c>
      <c r="D3774" t="inlineStr">
        <is>
          <t>ÖSTERGÖTLANDS LÄN</t>
        </is>
      </c>
      <c r="E3774" t="inlineStr">
        <is>
          <t>LINKÖPING</t>
        </is>
      </c>
      <c r="F3774" t="inlineStr">
        <is>
          <t>Övriga statliga verk och myndigheter</t>
        </is>
      </c>
      <c r="G3774" t="n">
        <v>4.2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65336-2021</t>
        </is>
      </c>
      <c r="B3775" s="1" t="n">
        <v>44515</v>
      </c>
      <c r="C3775" s="1" t="n">
        <v>45192</v>
      </c>
      <c r="D3775" t="inlineStr">
        <is>
          <t>ÖSTERGÖTLANDS LÄN</t>
        </is>
      </c>
      <c r="E3775" t="inlineStr">
        <is>
          <t>NORRKÖPING</t>
        </is>
      </c>
      <c r="F3775" t="inlineStr">
        <is>
          <t>Holmen skog AB</t>
        </is>
      </c>
      <c r="G3775" t="n">
        <v>0.8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65397-2021</t>
        </is>
      </c>
      <c r="B3776" s="1" t="n">
        <v>44515</v>
      </c>
      <c r="C3776" s="1" t="n">
        <v>45192</v>
      </c>
      <c r="D3776" t="inlineStr">
        <is>
          <t>ÖSTERGÖTLANDS LÄN</t>
        </is>
      </c>
      <c r="E3776" t="inlineStr">
        <is>
          <t>LINKÖPING</t>
        </is>
      </c>
      <c r="F3776" t="inlineStr">
        <is>
          <t>Övriga statliga verk och myndigheter</t>
        </is>
      </c>
      <c r="G3776" t="n">
        <v>1.5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65337-2021</t>
        </is>
      </c>
      <c r="B3777" s="1" t="n">
        <v>44515</v>
      </c>
      <c r="C3777" s="1" t="n">
        <v>45192</v>
      </c>
      <c r="D3777" t="inlineStr">
        <is>
          <t>ÖSTERGÖTLANDS LÄN</t>
        </is>
      </c>
      <c r="E3777" t="inlineStr">
        <is>
          <t>YDRE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65369-2021</t>
        </is>
      </c>
      <c r="B3778" s="1" t="n">
        <v>44515</v>
      </c>
      <c r="C3778" s="1" t="n">
        <v>45192</v>
      </c>
      <c r="D3778" t="inlineStr">
        <is>
          <t>ÖSTERGÖTLANDS LÄN</t>
        </is>
      </c>
      <c r="E3778" t="inlineStr">
        <is>
          <t>SÖDERKÖPING</t>
        </is>
      </c>
      <c r="G3778" t="n">
        <v>0.8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65394-2021</t>
        </is>
      </c>
      <c r="B3779" s="1" t="n">
        <v>44515</v>
      </c>
      <c r="C3779" s="1" t="n">
        <v>45192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65398-2021</t>
        </is>
      </c>
      <c r="B3780" s="1" t="n">
        <v>44515</v>
      </c>
      <c r="C3780" s="1" t="n">
        <v>45192</v>
      </c>
      <c r="D3780" t="inlineStr">
        <is>
          <t>ÖSTERGÖTLANDS LÄN</t>
        </is>
      </c>
      <c r="E3780" t="inlineStr">
        <is>
          <t>LINKÖPING</t>
        </is>
      </c>
      <c r="F3780" t="inlineStr">
        <is>
          <t>Övriga statliga verk och myndigheter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65333-2021</t>
        </is>
      </c>
      <c r="B3781" s="1" t="n">
        <v>44515</v>
      </c>
      <c r="C3781" s="1" t="n">
        <v>45192</v>
      </c>
      <c r="D3781" t="inlineStr">
        <is>
          <t>ÖSTERGÖTLANDS LÄN</t>
        </is>
      </c>
      <c r="E3781" t="inlineStr">
        <is>
          <t>BOXHOLM</t>
        </is>
      </c>
      <c r="G3781" t="n">
        <v>2.4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65395-2021</t>
        </is>
      </c>
      <c r="B3782" s="1" t="n">
        <v>44515</v>
      </c>
      <c r="C3782" s="1" t="n">
        <v>45192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0.7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65399-2021</t>
        </is>
      </c>
      <c r="B3783" s="1" t="n">
        <v>44515</v>
      </c>
      <c r="C3783" s="1" t="n">
        <v>45192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12.8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65590-2021</t>
        </is>
      </c>
      <c r="B3784" s="1" t="n">
        <v>44516</v>
      </c>
      <c r="C3784" s="1" t="n">
        <v>45192</v>
      </c>
      <c r="D3784" t="inlineStr">
        <is>
          <t>ÖSTERGÖTLANDS LÄN</t>
        </is>
      </c>
      <c r="E3784" t="inlineStr">
        <is>
          <t>ÅTVIDABERG</t>
        </is>
      </c>
      <c r="F3784" t="inlineStr">
        <is>
          <t>Sveaskog</t>
        </is>
      </c>
      <c r="G3784" t="n">
        <v>0.6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65643-2021</t>
        </is>
      </c>
      <c r="B3785" s="1" t="n">
        <v>44516</v>
      </c>
      <c r="C3785" s="1" t="n">
        <v>45192</v>
      </c>
      <c r="D3785" t="inlineStr">
        <is>
          <t>ÖSTERGÖTLANDS LÄN</t>
        </is>
      </c>
      <c r="E3785" t="inlineStr">
        <is>
          <t>LINKÖPING</t>
        </is>
      </c>
      <c r="G3785" t="n">
        <v>1.2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65566-2021</t>
        </is>
      </c>
      <c r="B3786" s="1" t="n">
        <v>44516</v>
      </c>
      <c r="C3786" s="1" t="n">
        <v>45192</v>
      </c>
      <c r="D3786" t="inlineStr">
        <is>
          <t>ÖSTERGÖTLANDS LÄN</t>
        </is>
      </c>
      <c r="E3786" t="inlineStr">
        <is>
          <t>MOTALA</t>
        </is>
      </c>
      <c r="G3786" t="n">
        <v>3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65594-2021</t>
        </is>
      </c>
      <c r="B3787" s="1" t="n">
        <v>44516</v>
      </c>
      <c r="C3787" s="1" t="n">
        <v>45192</v>
      </c>
      <c r="D3787" t="inlineStr">
        <is>
          <t>ÖSTERGÖTLANDS LÄN</t>
        </is>
      </c>
      <c r="E3787" t="inlineStr">
        <is>
          <t>ÅTVIDABERG</t>
        </is>
      </c>
      <c r="F3787" t="inlineStr">
        <is>
          <t>Sveaskog</t>
        </is>
      </c>
      <c r="G3787" t="n">
        <v>0.9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65561-2021</t>
        </is>
      </c>
      <c r="B3788" s="1" t="n">
        <v>44516</v>
      </c>
      <c r="C3788" s="1" t="n">
        <v>45192</v>
      </c>
      <c r="D3788" t="inlineStr">
        <is>
          <t>ÖSTERGÖTLANDS LÄN</t>
        </is>
      </c>
      <c r="E3788" t="inlineStr">
        <is>
          <t>MOTALA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65573-2021</t>
        </is>
      </c>
      <c r="B3789" s="1" t="n">
        <v>44516</v>
      </c>
      <c r="C3789" s="1" t="n">
        <v>45192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2.1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65588-2021</t>
        </is>
      </c>
      <c r="B3790" s="1" t="n">
        <v>44516</v>
      </c>
      <c r="C3790" s="1" t="n">
        <v>45192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3.2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65795-2021</t>
        </is>
      </c>
      <c r="B3791" s="1" t="n">
        <v>44516</v>
      </c>
      <c r="C3791" s="1" t="n">
        <v>45192</v>
      </c>
      <c r="D3791" t="inlineStr">
        <is>
          <t>ÖSTERGÖTLANDS LÄN</t>
        </is>
      </c>
      <c r="E3791" t="inlineStr">
        <is>
          <t>YDRE</t>
        </is>
      </c>
      <c r="G3791" t="n">
        <v>6.5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65801-2021</t>
        </is>
      </c>
      <c r="B3792" s="1" t="n">
        <v>44517</v>
      </c>
      <c r="C3792" s="1" t="n">
        <v>45192</v>
      </c>
      <c r="D3792" t="inlineStr">
        <is>
          <t>ÖSTERGÖTLANDS LÄN</t>
        </is>
      </c>
      <c r="E3792" t="inlineStr">
        <is>
          <t>NORRKÖPING</t>
        </is>
      </c>
      <c r="F3792" t="inlineStr">
        <is>
          <t>Holmen skog AB</t>
        </is>
      </c>
      <c r="G3792" t="n">
        <v>0.9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65921-2021</t>
        </is>
      </c>
      <c r="B3793" s="1" t="n">
        <v>44517</v>
      </c>
      <c r="C3793" s="1" t="n">
        <v>45192</v>
      </c>
      <c r="D3793" t="inlineStr">
        <is>
          <t>ÖSTERGÖTLANDS LÄN</t>
        </is>
      </c>
      <c r="E3793" t="inlineStr">
        <is>
          <t>MJÖLBY</t>
        </is>
      </c>
      <c r="G3793" t="n">
        <v>2.1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66014-2021</t>
        </is>
      </c>
      <c r="B3794" s="1" t="n">
        <v>44517</v>
      </c>
      <c r="C3794" s="1" t="n">
        <v>45192</v>
      </c>
      <c r="D3794" t="inlineStr">
        <is>
          <t>ÖSTERGÖTLANDS LÄN</t>
        </is>
      </c>
      <c r="E3794" t="inlineStr">
        <is>
          <t>FINSPÅNG</t>
        </is>
      </c>
      <c r="G3794" t="n">
        <v>1.8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66100-2021</t>
        </is>
      </c>
      <c r="B3795" s="1" t="n">
        <v>44517</v>
      </c>
      <c r="C3795" s="1" t="n">
        <v>45192</v>
      </c>
      <c r="D3795" t="inlineStr">
        <is>
          <t>ÖSTERGÖTLANDS LÄN</t>
        </is>
      </c>
      <c r="E3795" t="inlineStr">
        <is>
          <t>KINDA</t>
        </is>
      </c>
      <c r="G3795" t="n">
        <v>2.5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65799-2021</t>
        </is>
      </c>
      <c r="B3796" s="1" t="n">
        <v>44517</v>
      </c>
      <c r="C3796" s="1" t="n">
        <v>45192</v>
      </c>
      <c r="D3796" t="inlineStr">
        <is>
          <t>ÖSTERGÖTLANDS LÄN</t>
        </is>
      </c>
      <c r="E3796" t="inlineStr">
        <is>
          <t>NORRKÖPING</t>
        </is>
      </c>
      <c r="F3796" t="inlineStr">
        <is>
          <t>Holmen skog AB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65828-2021</t>
        </is>
      </c>
      <c r="B3797" s="1" t="n">
        <v>44517</v>
      </c>
      <c r="C3797" s="1" t="n">
        <v>45192</v>
      </c>
      <c r="D3797" t="inlineStr">
        <is>
          <t>ÖSTERGÖTLANDS LÄN</t>
        </is>
      </c>
      <c r="E3797" t="inlineStr">
        <is>
          <t>ÅTVIDABERG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65821-2021</t>
        </is>
      </c>
      <c r="B3798" s="1" t="n">
        <v>44517</v>
      </c>
      <c r="C3798" s="1" t="n">
        <v>45192</v>
      </c>
      <c r="D3798" t="inlineStr">
        <is>
          <t>ÖSTERGÖTLANDS LÄN</t>
        </is>
      </c>
      <c r="E3798" t="inlineStr">
        <is>
          <t>ÖDESHÖG</t>
        </is>
      </c>
      <c r="G3798" t="n">
        <v>0.7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65890-2021</t>
        </is>
      </c>
      <c r="B3799" s="1" t="n">
        <v>44517</v>
      </c>
      <c r="C3799" s="1" t="n">
        <v>45192</v>
      </c>
      <c r="D3799" t="inlineStr">
        <is>
          <t>ÖSTERGÖTLANDS LÄN</t>
        </is>
      </c>
      <c r="E3799" t="inlineStr">
        <is>
          <t>VALDEMARSVIK</t>
        </is>
      </c>
      <c r="G3799" t="n">
        <v>4.1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66075-2021</t>
        </is>
      </c>
      <c r="B3800" s="1" t="n">
        <v>44517</v>
      </c>
      <c r="C3800" s="1" t="n">
        <v>45192</v>
      </c>
      <c r="D3800" t="inlineStr">
        <is>
          <t>ÖSTERGÖTLANDS LÄN</t>
        </is>
      </c>
      <c r="E3800" t="inlineStr">
        <is>
          <t>SÖDERKÖPING</t>
        </is>
      </c>
      <c r="F3800" t="inlineStr">
        <is>
          <t>Kyrkan</t>
        </is>
      </c>
      <c r="G3800" t="n">
        <v>3.7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66356-2021</t>
        </is>
      </c>
      <c r="B3801" s="1" t="n">
        <v>44518</v>
      </c>
      <c r="C3801" s="1" t="n">
        <v>45192</v>
      </c>
      <c r="D3801" t="inlineStr">
        <is>
          <t>ÖSTERGÖTLANDS LÄN</t>
        </is>
      </c>
      <c r="E3801" t="inlineStr">
        <is>
          <t>SÖDERKÖPING</t>
        </is>
      </c>
      <c r="G3801" t="n">
        <v>1.3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66424-2021</t>
        </is>
      </c>
      <c r="B3802" s="1" t="n">
        <v>44518</v>
      </c>
      <c r="C3802" s="1" t="n">
        <v>45192</v>
      </c>
      <c r="D3802" t="inlineStr">
        <is>
          <t>ÖSTERGÖTLANDS LÄN</t>
        </is>
      </c>
      <c r="E3802" t="inlineStr">
        <is>
          <t>VALDEMARSVIK</t>
        </is>
      </c>
      <c r="G3802" t="n">
        <v>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66516-2021</t>
        </is>
      </c>
      <c r="B3803" s="1" t="n">
        <v>44518</v>
      </c>
      <c r="C3803" s="1" t="n">
        <v>45192</v>
      </c>
      <c r="D3803" t="inlineStr">
        <is>
          <t>ÖSTERGÖTLANDS LÄN</t>
        </is>
      </c>
      <c r="E3803" t="inlineStr">
        <is>
          <t>LINKÖPING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66362-2021</t>
        </is>
      </c>
      <c r="B3804" s="1" t="n">
        <v>44518</v>
      </c>
      <c r="C3804" s="1" t="n">
        <v>45192</v>
      </c>
      <c r="D3804" t="inlineStr">
        <is>
          <t>ÖSTERGÖTLANDS LÄN</t>
        </is>
      </c>
      <c r="E3804" t="inlineStr">
        <is>
          <t>SÖDERKÖPING</t>
        </is>
      </c>
      <c r="G3804" t="n">
        <v>1.1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66194-2021</t>
        </is>
      </c>
      <c r="B3805" s="1" t="n">
        <v>44518</v>
      </c>
      <c r="C3805" s="1" t="n">
        <v>45192</v>
      </c>
      <c r="D3805" t="inlineStr">
        <is>
          <t>ÖSTERGÖTLANDS LÄN</t>
        </is>
      </c>
      <c r="E3805" t="inlineStr">
        <is>
          <t>MOTALA</t>
        </is>
      </c>
      <c r="G3805" t="n">
        <v>13.6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66368-2021</t>
        </is>
      </c>
      <c r="B3806" s="1" t="n">
        <v>44518</v>
      </c>
      <c r="C3806" s="1" t="n">
        <v>45192</v>
      </c>
      <c r="D3806" t="inlineStr">
        <is>
          <t>ÖSTERGÖTLANDS LÄN</t>
        </is>
      </c>
      <c r="E3806" t="inlineStr">
        <is>
          <t>SÖDERKÖPING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66429-2021</t>
        </is>
      </c>
      <c r="B3807" s="1" t="n">
        <v>44518</v>
      </c>
      <c r="C3807" s="1" t="n">
        <v>45192</v>
      </c>
      <c r="D3807" t="inlineStr">
        <is>
          <t>ÖSTERGÖTLANDS LÄN</t>
        </is>
      </c>
      <c r="E3807" t="inlineStr">
        <is>
          <t>VALDEMARSVIK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66977-2021</t>
        </is>
      </c>
      <c r="B3808" s="1" t="n">
        <v>44522</v>
      </c>
      <c r="C3808" s="1" t="n">
        <v>45192</v>
      </c>
      <c r="D3808" t="inlineStr">
        <is>
          <t>ÖSTERGÖTLANDS LÄN</t>
        </is>
      </c>
      <c r="E3808" t="inlineStr">
        <is>
          <t>MJÖLBY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67322-2021</t>
        </is>
      </c>
      <c r="B3809" s="1" t="n">
        <v>44523</v>
      </c>
      <c r="C3809" s="1" t="n">
        <v>45192</v>
      </c>
      <c r="D3809" t="inlineStr">
        <is>
          <t>ÖSTERGÖTLANDS LÄN</t>
        </is>
      </c>
      <c r="E3809" t="inlineStr">
        <is>
          <t>LINKÖPING</t>
        </is>
      </c>
      <c r="G3809" t="n">
        <v>0.8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67371-2021</t>
        </is>
      </c>
      <c r="B3810" s="1" t="n">
        <v>44523</v>
      </c>
      <c r="C3810" s="1" t="n">
        <v>45192</v>
      </c>
      <c r="D3810" t="inlineStr">
        <is>
          <t>ÖSTERGÖTLANDS LÄN</t>
        </is>
      </c>
      <c r="E3810" t="inlineStr">
        <is>
          <t>BOXHOLM</t>
        </is>
      </c>
      <c r="G3810" t="n">
        <v>3.6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67362-2021</t>
        </is>
      </c>
      <c r="B3811" s="1" t="n">
        <v>44523</v>
      </c>
      <c r="C3811" s="1" t="n">
        <v>45192</v>
      </c>
      <c r="D3811" t="inlineStr">
        <is>
          <t>ÖSTERGÖTLANDS LÄN</t>
        </is>
      </c>
      <c r="E3811" t="inlineStr">
        <is>
          <t>BOXHOLM</t>
        </is>
      </c>
      <c r="G3811" t="n">
        <v>1.4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67625-2021</t>
        </is>
      </c>
      <c r="B3812" s="1" t="n">
        <v>44524</v>
      </c>
      <c r="C3812" s="1" t="n">
        <v>45192</v>
      </c>
      <c r="D3812" t="inlineStr">
        <is>
          <t>ÖSTERGÖTLANDS LÄN</t>
        </is>
      </c>
      <c r="E3812" t="inlineStr">
        <is>
          <t>NORRKÖPING</t>
        </is>
      </c>
      <c r="G3812" t="n">
        <v>4.3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67646-2021</t>
        </is>
      </c>
      <c r="B3813" s="1" t="n">
        <v>44524</v>
      </c>
      <c r="C3813" s="1" t="n">
        <v>45192</v>
      </c>
      <c r="D3813" t="inlineStr">
        <is>
          <t>ÖSTERGÖTLANDS LÄN</t>
        </is>
      </c>
      <c r="E3813" t="inlineStr">
        <is>
          <t>NORRKÖPING</t>
        </is>
      </c>
      <c r="G3813" t="n">
        <v>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67748-2021</t>
        </is>
      </c>
      <c r="B3814" s="1" t="n">
        <v>44525</v>
      </c>
      <c r="C3814" s="1" t="n">
        <v>45192</v>
      </c>
      <c r="D3814" t="inlineStr">
        <is>
          <t>ÖSTERGÖTLANDS LÄN</t>
        </is>
      </c>
      <c r="E3814" t="inlineStr">
        <is>
          <t>MOTALA</t>
        </is>
      </c>
      <c r="G3814" t="n">
        <v>1.6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67912-2021</t>
        </is>
      </c>
      <c r="B3815" s="1" t="n">
        <v>44525</v>
      </c>
      <c r="C3815" s="1" t="n">
        <v>45192</v>
      </c>
      <c r="D3815" t="inlineStr">
        <is>
          <t>ÖSTERGÖTLANDS LÄN</t>
        </is>
      </c>
      <c r="E3815" t="inlineStr">
        <is>
          <t>LINKÖPING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67767-2021</t>
        </is>
      </c>
      <c r="B3816" s="1" t="n">
        <v>44525</v>
      </c>
      <c r="C3816" s="1" t="n">
        <v>45192</v>
      </c>
      <c r="D3816" t="inlineStr">
        <is>
          <t>ÖSTERGÖTLANDS LÄN</t>
        </is>
      </c>
      <c r="E3816" t="inlineStr">
        <is>
          <t>FINSPÅNG</t>
        </is>
      </c>
      <c r="F3816" t="inlineStr">
        <is>
          <t>Holmen skog AB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67789-2021</t>
        </is>
      </c>
      <c r="B3817" s="1" t="n">
        <v>44525</v>
      </c>
      <c r="C3817" s="1" t="n">
        <v>45192</v>
      </c>
      <c r="D3817" t="inlineStr">
        <is>
          <t>ÖSTERGÖTLANDS LÄN</t>
        </is>
      </c>
      <c r="E3817" t="inlineStr">
        <is>
          <t>KINDA</t>
        </is>
      </c>
      <c r="G3817" t="n">
        <v>19.4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68288-2021</t>
        </is>
      </c>
      <c r="B3818" s="1" t="n">
        <v>44526</v>
      </c>
      <c r="C3818" s="1" t="n">
        <v>45192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68348-2021</t>
        </is>
      </c>
      <c r="B3819" s="1" t="n">
        <v>44528</v>
      </c>
      <c r="C3819" s="1" t="n">
        <v>45192</v>
      </c>
      <c r="D3819" t="inlineStr">
        <is>
          <t>ÖSTERGÖTLANDS LÄN</t>
        </is>
      </c>
      <c r="E3819" t="inlineStr">
        <is>
          <t>MOTALA</t>
        </is>
      </c>
      <c r="G3819" t="n">
        <v>0.6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68547-2021</t>
        </is>
      </c>
      <c r="B3820" s="1" t="n">
        <v>44528</v>
      </c>
      <c r="C3820" s="1" t="n">
        <v>45192</v>
      </c>
      <c r="D3820" t="inlineStr">
        <is>
          <t>ÖSTERGÖTLANDS LÄN</t>
        </is>
      </c>
      <c r="E3820" t="inlineStr">
        <is>
          <t>ÅTVIDABERG</t>
        </is>
      </c>
      <c r="G3820" t="n">
        <v>2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69020-2021</t>
        </is>
      </c>
      <c r="B3821" s="1" t="n">
        <v>44530</v>
      </c>
      <c r="C3821" s="1" t="n">
        <v>45192</v>
      </c>
      <c r="D3821" t="inlineStr">
        <is>
          <t>ÖSTERGÖTLANDS LÄN</t>
        </is>
      </c>
      <c r="E3821" t="inlineStr">
        <is>
          <t>YDRE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69065-2021</t>
        </is>
      </c>
      <c r="B3822" s="1" t="n">
        <v>44530</v>
      </c>
      <c r="C3822" s="1" t="n">
        <v>45192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68936-2021</t>
        </is>
      </c>
      <c r="B3823" s="1" t="n">
        <v>44530</v>
      </c>
      <c r="C3823" s="1" t="n">
        <v>45192</v>
      </c>
      <c r="D3823" t="inlineStr">
        <is>
          <t>ÖSTERGÖTLANDS LÄN</t>
        </is>
      </c>
      <c r="E3823" t="inlineStr">
        <is>
          <t>NORRKÖPING</t>
        </is>
      </c>
      <c r="F3823" t="inlineStr">
        <is>
          <t>Holmen skog AB</t>
        </is>
      </c>
      <c r="G3823" t="n">
        <v>0.8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68984-2021</t>
        </is>
      </c>
      <c r="B3824" s="1" t="n">
        <v>44530</v>
      </c>
      <c r="C3824" s="1" t="n">
        <v>45192</v>
      </c>
      <c r="D3824" t="inlineStr">
        <is>
          <t>ÖSTERGÖTLANDS LÄN</t>
        </is>
      </c>
      <c r="E3824" t="inlineStr">
        <is>
          <t>SÖDERKÖPING</t>
        </is>
      </c>
      <c r="G3824" t="n">
        <v>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69038-2021</t>
        </is>
      </c>
      <c r="B3825" s="1" t="n">
        <v>44530</v>
      </c>
      <c r="C3825" s="1" t="n">
        <v>45192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3.5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69261-2021</t>
        </is>
      </c>
      <c r="B3826" s="1" t="n">
        <v>44531</v>
      </c>
      <c r="C3826" s="1" t="n">
        <v>45192</v>
      </c>
      <c r="D3826" t="inlineStr">
        <is>
          <t>ÖSTERGÖTLANDS LÄN</t>
        </is>
      </c>
      <c r="E3826" t="inlineStr">
        <is>
          <t>VALDEMARSVIK</t>
        </is>
      </c>
      <c r="G3826" t="n">
        <v>1.1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69425-2021</t>
        </is>
      </c>
      <c r="B3827" s="1" t="n">
        <v>44531</v>
      </c>
      <c r="C3827" s="1" t="n">
        <v>45192</v>
      </c>
      <c r="D3827" t="inlineStr">
        <is>
          <t>ÖSTERGÖTLANDS LÄN</t>
        </is>
      </c>
      <c r="E3827" t="inlineStr">
        <is>
          <t>SÖDERKÖPING</t>
        </is>
      </c>
      <c r="G3827" t="n">
        <v>0.8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69307-2021</t>
        </is>
      </c>
      <c r="B3828" s="1" t="n">
        <v>44531</v>
      </c>
      <c r="C3828" s="1" t="n">
        <v>45192</v>
      </c>
      <c r="D3828" t="inlineStr">
        <is>
          <t>ÖSTERGÖTLANDS LÄN</t>
        </is>
      </c>
      <c r="E3828" t="inlineStr">
        <is>
          <t>YDRE</t>
        </is>
      </c>
      <c r="G3828" t="n">
        <v>1.3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69343-2021</t>
        </is>
      </c>
      <c r="B3829" s="1" t="n">
        <v>44531</v>
      </c>
      <c r="C3829" s="1" t="n">
        <v>45192</v>
      </c>
      <c r="D3829" t="inlineStr">
        <is>
          <t>ÖSTERGÖTLANDS LÄN</t>
        </is>
      </c>
      <c r="E3829" t="inlineStr">
        <is>
          <t>ÅTVIDABERG</t>
        </is>
      </c>
      <c r="F3829" t="inlineStr">
        <is>
          <t>Övriga Aktiebolag</t>
        </is>
      </c>
      <c r="G3829" t="n">
        <v>1.7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69826-2021</t>
        </is>
      </c>
      <c r="B3830" s="1" t="n">
        <v>44532</v>
      </c>
      <c r="C3830" s="1" t="n">
        <v>45192</v>
      </c>
      <c r="D3830" t="inlineStr">
        <is>
          <t>ÖSTERGÖTLANDS LÄN</t>
        </is>
      </c>
      <c r="E3830" t="inlineStr">
        <is>
          <t>NORRKÖPING</t>
        </is>
      </c>
      <c r="G3830" t="n">
        <v>5.1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69717-2021</t>
        </is>
      </c>
      <c r="B3831" s="1" t="n">
        <v>44532</v>
      </c>
      <c r="C3831" s="1" t="n">
        <v>45192</v>
      </c>
      <c r="D3831" t="inlineStr">
        <is>
          <t>ÖSTERGÖTLANDS LÄN</t>
        </is>
      </c>
      <c r="E3831" t="inlineStr">
        <is>
          <t>FINSPÅNG</t>
        </is>
      </c>
      <c r="G3831" t="n">
        <v>2.7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69775-2021</t>
        </is>
      </c>
      <c r="B3832" s="1" t="n">
        <v>44532</v>
      </c>
      <c r="C3832" s="1" t="n">
        <v>45192</v>
      </c>
      <c r="D3832" t="inlineStr">
        <is>
          <t>ÖSTERGÖTLANDS LÄN</t>
        </is>
      </c>
      <c r="E3832" t="inlineStr">
        <is>
          <t>FINSPÅNG</t>
        </is>
      </c>
      <c r="G3832" t="n">
        <v>2.9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69855-2021</t>
        </is>
      </c>
      <c r="B3833" s="1" t="n">
        <v>44532</v>
      </c>
      <c r="C3833" s="1" t="n">
        <v>45192</v>
      </c>
      <c r="D3833" t="inlineStr">
        <is>
          <t>ÖSTERGÖTLANDS LÄN</t>
        </is>
      </c>
      <c r="E3833" t="inlineStr">
        <is>
          <t>ÅTVIDABERG</t>
        </is>
      </c>
      <c r="G3833" t="n">
        <v>4.2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69989-2021</t>
        </is>
      </c>
      <c r="B3834" s="1" t="n">
        <v>44533</v>
      </c>
      <c r="C3834" s="1" t="n">
        <v>45192</v>
      </c>
      <c r="D3834" t="inlineStr">
        <is>
          <t>ÖSTERGÖTLANDS LÄN</t>
        </is>
      </c>
      <c r="E3834" t="inlineStr">
        <is>
          <t>FINSPÅNG</t>
        </is>
      </c>
      <c r="G3834" t="n">
        <v>0.7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70105-2021</t>
        </is>
      </c>
      <c r="B3835" s="1" t="n">
        <v>44533</v>
      </c>
      <c r="C3835" s="1" t="n">
        <v>45192</v>
      </c>
      <c r="D3835" t="inlineStr">
        <is>
          <t>ÖSTERGÖTLANDS LÄN</t>
        </is>
      </c>
      <c r="E3835" t="inlineStr">
        <is>
          <t>FINSPÅNG</t>
        </is>
      </c>
      <c r="G3835" t="n">
        <v>1.4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70161-2021</t>
        </is>
      </c>
      <c r="B3836" s="1" t="n">
        <v>44533</v>
      </c>
      <c r="C3836" s="1" t="n">
        <v>45192</v>
      </c>
      <c r="D3836" t="inlineStr">
        <is>
          <t>ÖSTERGÖTLANDS LÄN</t>
        </is>
      </c>
      <c r="E3836" t="inlineStr">
        <is>
          <t>LINKÖPING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69940-2021</t>
        </is>
      </c>
      <c r="B3837" s="1" t="n">
        <v>44533</v>
      </c>
      <c r="C3837" s="1" t="n">
        <v>45192</v>
      </c>
      <c r="D3837" t="inlineStr">
        <is>
          <t>ÖSTERGÖTLANDS LÄN</t>
        </is>
      </c>
      <c r="E3837" t="inlineStr">
        <is>
          <t>ÅTVIDABERG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69994-2021</t>
        </is>
      </c>
      <c r="B3838" s="1" t="n">
        <v>44533</v>
      </c>
      <c r="C3838" s="1" t="n">
        <v>45192</v>
      </c>
      <c r="D3838" t="inlineStr">
        <is>
          <t>ÖSTERGÖTLANDS LÄN</t>
        </is>
      </c>
      <c r="E3838" t="inlineStr">
        <is>
          <t>FINSPÅNG</t>
        </is>
      </c>
      <c r="G3838" t="n">
        <v>0.5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70314-2021</t>
        </is>
      </c>
      <c r="B3839" s="1" t="n">
        <v>44536</v>
      </c>
      <c r="C3839" s="1" t="n">
        <v>45192</v>
      </c>
      <c r="D3839" t="inlineStr">
        <is>
          <t>ÖSTERGÖTLANDS LÄN</t>
        </is>
      </c>
      <c r="E3839" t="inlineStr">
        <is>
          <t>VALDEMARSVIK</t>
        </is>
      </c>
      <c r="G3839" t="n">
        <v>3.5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70407-2021</t>
        </is>
      </c>
      <c r="B3840" s="1" t="n">
        <v>44536</v>
      </c>
      <c r="C3840" s="1" t="n">
        <v>45192</v>
      </c>
      <c r="D3840" t="inlineStr">
        <is>
          <t>ÖSTERGÖTLANDS LÄN</t>
        </is>
      </c>
      <c r="E3840" t="inlineStr">
        <is>
          <t>FINSPÅNG</t>
        </is>
      </c>
      <c r="F3840" t="inlineStr">
        <is>
          <t>Holmen skog AB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70378-2021</t>
        </is>
      </c>
      <c r="B3841" s="1" t="n">
        <v>44536</v>
      </c>
      <c r="C3841" s="1" t="n">
        <v>45192</v>
      </c>
      <c r="D3841" t="inlineStr">
        <is>
          <t>ÖSTERGÖTLANDS LÄN</t>
        </is>
      </c>
      <c r="E3841" t="inlineStr">
        <is>
          <t>NORRKÖPING</t>
        </is>
      </c>
      <c r="G3841" t="n">
        <v>2.2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70505-2021</t>
        </is>
      </c>
      <c r="B3842" s="1" t="n">
        <v>44536</v>
      </c>
      <c r="C3842" s="1" t="n">
        <v>45192</v>
      </c>
      <c r="D3842" t="inlineStr">
        <is>
          <t>ÖSTERGÖTLANDS LÄN</t>
        </is>
      </c>
      <c r="E3842" t="inlineStr">
        <is>
          <t>FINSPÅNG</t>
        </is>
      </c>
      <c r="G3842" t="n">
        <v>4.5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71093-2021</t>
        </is>
      </c>
      <c r="B3843" s="1" t="n">
        <v>44537</v>
      </c>
      <c r="C3843" s="1" t="n">
        <v>45192</v>
      </c>
      <c r="D3843" t="inlineStr">
        <is>
          <t>ÖSTERGÖTLANDS LÄN</t>
        </is>
      </c>
      <c r="E3843" t="inlineStr">
        <is>
          <t>NORRKÖPING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70835-2021</t>
        </is>
      </c>
      <c r="B3844" s="1" t="n">
        <v>44537</v>
      </c>
      <c r="C3844" s="1" t="n">
        <v>45192</v>
      </c>
      <c r="D3844" t="inlineStr">
        <is>
          <t>ÖSTERGÖTLANDS LÄN</t>
        </is>
      </c>
      <c r="E3844" t="inlineStr">
        <is>
          <t>LINKÖPING</t>
        </is>
      </c>
      <c r="G3844" t="n">
        <v>2.3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71096-2021</t>
        </is>
      </c>
      <c r="B3845" s="1" t="n">
        <v>44537</v>
      </c>
      <c r="C3845" s="1" t="n">
        <v>45192</v>
      </c>
      <c r="D3845" t="inlineStr">
        <is>
          <t>ÖSTERGÖTLANDS LÄN</t>
        </is>
      </c>
      <c r="E3845" t="inlineStr">
        <is>
          <t>NORRKÖPING</t>
        </is>
      </c>
      <c r="G3845" t="n">
        <v>2.9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70564-2021</t>
        </is>
      </c>
      <c r="B3846" s="1" t="n">
        <v>44537</v>
      </c>
      <c r="C3846" s="1" t="n">
        <v>45192</v>
      </c>
      <c r="D3846" t="inlineStr">
        <is>
          <t>ÖSTERGÖTLANDS LÄN</t>
        </is>
      </c>
      <c r="E3846" t="inlineStr">
        <is>
          <t>MOTALA</t>
        </is>
      </c>
      <c r="G3846" t="n">
        <v>8.1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71037-2021</t>
        </is>
      </c>
      <c r="B3847" s="1" t="n">
        <v>44537</v>
      </c>
      <c r="C3847" s="1" t="n">
        <v>45192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71030-2021</t>
        </is>
      </c>
      <c r="B3848" s="1" t="n">
        <v>44538</v>
      </c>
      <c r="C3848" s="1" t="n">
        <v>45192</v>
      </c>
      <c r="D3848" t="inlineStr">
        <is>
          <t>ÖSTERGÖTLANDS LÄN</t>
        </is>
      </c>
      <c r="E3848" t="inlineStr">
        <is>
          <t>BOXHOLM</t>
        </is>
      </c>
      <c r="G3848" t="n">
        <v>1.2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71524-2021</t>
        </is>
      </c>
      <c r="B3849" s="1" t="n">
        <v>44538</v>
      </c>
      <c r="C3849" s="1" t="n">
        <v>45192</v>
      </c>
      <c r="D3849" t="inlineStr">
        <is>
          <t>ÖSTERGÖTLANDS LÄN</t>
        </is>
      </c>
      <c r="E3849" t="inlineStr">
        <is>
          <t>YDRE</t>
        </is>
      </c>
      <c r="G3849" t="n">
        <v>0.5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71038-2021</t>
        </is>
      </c>
      <c r="B3850" s="1" t="n">
        <v>44538</v>
      </c>
      <c r="C3850" s="1" t="n">
        <v>45192</v>
      </c>
      <c r="D3850" t="inlineStr">
        <is>
          <t>ÖSTERGÖTLANDS LÄN</t>
        </is>
      </c>
      <c r="E3850" t="inlineStr">
        <is>
          <t>ÖDESHÖG</t>
        </is>
      </c>
      <c r="G3850" t="n">
        <v>3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71034-2021</t>
        </is>
      </c>
      <c r="B3851" s="1" t="n">
        <v>44538</v>
      </c>
      <c r="C3851" s="1" t="n">
        <v>45192</v>
      </c>
      <c r="D3851" t="inlineStr">
        <is>
          <t>ÖSTERGÖTLANDS LÄN</t>
        </is>
      </c>
      <c r="E3851" t="inlineStr">
        <is>
          <t>ÖDESHÖG</t>
        </is>
      </c>
      <c r="G3851" t="n">
        <v>1.8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71205-2021</t>
        </is>
      </c>
      <c r="B3852" s="1" t="n">
        <v>44539</v>
      </c>
      <c r="C3852" s="1" t="n">
        <v>45192</v>
      </c>
      <c r="D3852" t="inlineStr">
        <is>
          <t>ÖSTERGÖTLANDS LÄN</t>
        </is>
      </c>
      <c r="E3852" t="inlineStr">
        <is>
          <t>MOTALA</t>
        </is>
      </c>
      <c r="G3852" t="n">
        <v>2.2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71788-2021</t>
        </is>
      </c>
      <c r="B3853" s="1" t="n">
        <v>44539</v>
      </c>
      <c r="C3853" s="1" t="n">
        <v>45192</v>
      </c>
      <c r="D3853" t="inlineStr">
        <is>
          <t>ÖSTERGÖTLANDS LÄN</t>
        </is>
      </c>
      <c r="E3853" t="inlineStr">
        <is>
          <t>ÅTVIDABERG</t>
        </is>
      </c>
      <c r="G3853" t="n">
        <v>1.1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71791-2021</t>
        </is>
      </c>
      <c r="B3854" s="1" t="n">
        <v>44539</v>
      </c>
      <c r="C3854" s="1" t="n">
        <v>45192</v>
      </c>
      <c r="D3854" t="inlineStr">
        <is>
          <t>ÖSTERGÖTLANDS LÄN</t>
        </is>
      </c>
      <c r="E3854" t="inlineStr">
        <is>
          <t>ÅTVIDABERG</t>
        </is>
      </c>
      <c r="G3854" t="n">
        <v>2.3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71426-2021</t>
        </is>
      </c>
      <c r="B3855" s="1" t="n">
        <v>44540</v>
      </c>
      <c r="C3855" s="1" t="n">
        <v>45192</v>
      </c>
      <c r="D3855" t="inlineStr">
        <is>
          <t>ÖSTERGÖTLANDS LÄN</t>
        </is>
      </c>
      <c r="E3855" t="inlineStr">
        <is>
          <t>SÖDERKÖPING</t>
        </is>
      </c>
      <c r="G3855" t="n">
        <v>1.7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72026-2021</t>
        </is>
      </c>
      <c r="B3856" s="1" t="n">
        <v>44540</v>
      </c>
      <c r="C3856" s="1" t="n">
        <v>45192</v>
      </c>
      <c r="D3856" t="inlineStr">
        <is>
          <t>ÖSTERGÖTLANDS LÄN</t>
        </is>
      </c>
      <c r="E3856" t="inlineStr">
        <is>
          <t>YDRE</t>
        </is>
      </c>
      <c r="G3856" t="n">
        <v>1.8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71514-2021</t>
        </is>
      </c>
      <c r="B3857" s="1" t="n">
        <v>44540</v>
      </c>
      <c r="C3857" s="1" t="n">
        <v>45192</v>
      </c>
      <c r="D3857" t="inlineStr">
        <is>
          <t>ÖSTERGÖTLANDS LÄN</t>
        </is>
      </c>
      <c r="E3857" t="inlineStr">
        <is>
          <t>ÖDESHÖG</t>
        </is>
      </c>
      <c r="G3857" t="n">
        <v>0.6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71597-2021</t>
        </is>
      </c>
      <c r="B3858" s="1" t="n">
        <v>44541</v>
      </c>
      <c r="C3858" s="1" t="n">
        <v>45192</v>
      </c>
      <c r="D3858" t="inlineStr">
        <is>
          <t>ÖSTERGÖTLANDS LÄN</t>
        </is>
      </c>
      <c r="E3858" t="inlineStr">
        <is>
          <t>FINSPÅNG</t>
        </is>
      </c>
      <c r="G3858" t="n">
        <v>2.1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71768-2021</t>
        </is>
      </c>
      <c r="B3859" s="1" t="n">
        <v>44543</v>
      </c>
      <c r="C3859" s="1" t="n">
        <v>45192</v>
      </c>
      <c r="D3859" t="inlineStr">
        <is>
          <t>ÖSTERGÖTLANDS LÄN</t>
        </is>
      </c>
      <c r="E3859" t="inlineStr">
        <is>
          <t>ÅTVIDABERG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71865-2021</t>
        </is>
      </c>
      <c r="B3860" s="1" t="n">
        <v>44543</v>
      </c>
      <c r="C3860" s="1" t="n">
        <v>45192</v>
      </c>
      <c r="D3860" t="inlineStr">
        <is>
          <t>ÖSTERGÖTLANDS LÄN</t>
        </is>
      </c>
      <c r="E3860" t="inlineStr">
        <is>
          <t>NORRKÖPING</t>
        </is>
      </c>
      <c r="F3860" t="inlineStr">
        <is>
          <t>Holmen skog AB</t>
        </is>
      </c>
      <c r="G3860" t="n">
        <v>1.2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71984-2021</t>
        </is>
      </c>
      <c r="B3861" s="1" t="n">
        <v>44544</v>
      </c>
      <c r="C3861" s="1" t="n">
        <v>45192</v>
      </c>
      <c r="D3861" t="inlineStr">
        <is>
          <t>ÖSTERGÖTLANDS LÄN</t>
        </is>
      </c>
      <c r="E3861" t="inlineStr">
        <is>
          <t>MOTALA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72381-2021</t>
        </is>
      </c>
      <c r="B3862" s="1" t="n">
        <v>44545</v>
      </c>
      <c r="C3862" s="1" t="n">
        <v>45192</v>
      </c>
      <c r="D3862" t="inlineStr">
        <is>
          <t>ÖSTERGÖTLANDS LÄN</t>
        </is>
      </c>
      <c r="E3862" t="inlineStr">
        <is>
          <t>NORRKÖPING</t>
        </is>
      </c>
      <c r="F3862" t="inlineStr">
        <is>
          <t>Holmen skog AB</t>
        </is>
      </c>
      <c r="G3862" t="n">
        <v>1.7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72398-2021</t>
        </is>
      </c>
      <c r="B3863" s="1" t="n">
        <v>44545</v>
      </c>
      <c r="C3863" s="1" t="n">
        <v>45192</v>
      </c>
      <c r="D3863" t="inlineStr">
        <is>
          <t>ÖSTERGÖTLANDS LÄN</t>
        </is>
      </c>
      <c r="E3863" t="inlineStr">
        <is>
          <t>ÅTVIDABERG</t>
        </is>
      </c>
      <c r="G3863" t="n">
        <v>0.7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72290-2021</t>
        </is>
      </c>
      <c r="B3864" s="1" t="n">
        <v>44545</v>
      </c>
      <c r="C3864" s="1" t="n">
        <v>45192</v>
      </c>
      <c r="D3864" t="inlineStr">
        <is>
          <t>ÖSTERGÖTLANDS LÄN</t>
        </is>
      </c>
      <c r="E3864" t="inlineStr">
        <is>
          <t>MJÖLBY</t>
        </is>
      </c>
      <c r="G3864" t="n">
        <v>0.4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72597-2021</t>
        </is>
      </c>
      <c r="B3865" s="1" t="n">
        <v>44546</v>
      </c>
      <c r="C3865" s="1" t="n">
        <v>45192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72696-2021</t>
        </is>
      </c>
      <c r="B3866" s="1" t="n">
        <v>44546</v>
      </c>
      <c r="C3866" s="1" t="n">
        <v>45192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0.6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72716-2021</t>
        </is>
      </c>
      <c r="B3867" s="1" t="n">
        <v>44546</v>
      </c>
      <c r="C3867" s="1" t="n">
        <v>45192</v>
      </c>
      <c r="D3867" t="inlineStr">
        <is>
          <t>ÖSTERGÖTLANDS LÄN</t>
        </is>
      </c>
      <c r="E3867" t="inlineStr">
        <is>
          <t>ÅTVIDABERG</t>
        </is>
      </c>
      <c r="F3867" t="inlineStr">
        <is>
          <t>Holmen skog AB</t>
        </is>
      </c>
      <c r="G3867" t="n">
        <v>1.8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72853-2021</t>
        </is>
      </c>
      <c r="B3868" s="1" t="n">
        <v>44547</v>
      </c>
      <c r="C3868" s="1" t="n">
        <v>45192</v>
      </c>
      <c r="D3868" t="inlineStr">
        <is>
          <t>ÖSTERGÖTLANDS LÄN</t>
        </is>
      </c>
      <c r="E3868" t="inlineStr">
        <is>
          <t>LINKÖPING</t>
        </is>
      </c>
      <c r="F3868" t="inlineStr">
        <is>
          <t>Sveaskog</t>
        </is>
      </c>
      <c r="G3868" t="n">
        <v>4.2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72847-2021</t>
        </is>
      </c>
      <c r="B3869" s="1" t="n">
        <v>44547</v>
      </c>
      <c r="C3869" s="1" t="n">
        <v>45192</v>
      </c>
      <c r="D3869" t="inlineStr">
        <is>
          <t>ÖSTERGÖTLANDS LÄN</t>
        </is>
      </c>
      <c r="E3869" t="inlineStr">
        <is>
          <t>MOTALA</t>
        </is>
      </c>
      <c r="F3869" t="inlineStr">
        <is>
          <t>Sveaskog</t>
        </is>
      </c>
      <c r="G3869" t="n">
        <v>2.2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73655-2021</t>
        </is>
      </c>
      <c r="B3870" s="1" t="n">
        <v>44551</v>
      </c>
      <c r="C3870" s="1" t="n">
        <v>45192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73657-2021</t>
        </is>
      </c>
      <c r="B3871" s="1" t="n">
        <v>44551</v>
      </c>
      <c r="C3871" s="1" t="n">
        <v>45192</v>
      </c>
      <c r="D3871" t="inlineStr">
        <is>
          <t>ÖSTERGÖTLANDS LÄN</t>
        </is>
      </c>
      <c r="E3871" t="inlineStr">
        <is>
          <t>FINSPÅNG</t>
        </is>
      </c>
      <c r="G3871" t="n">
        <v>1.3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73659-2021</t>
        </is>
      </c>
      <c r="B3872" s="1" t="n">
        <v>44551</v>
      </c>
      <c r="C3872" s="1" t="n">
        <v>45192</v>
      </c>
      <c r="D3872" t="inlineStr">
        <is>
          <t>ÖSTERGÖTLANDS LÄN</t>
        </is>
      </c>
      <c r="E3872" t="inlineStr">
        <is>
          <t>FINSPÅNG</t>
        </is>
      </c>
      <c r="G3872" t="n">
        <v>4.3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73770-2021</t>
        </is>
      </c>
      <c r="B3873" s="1" t="n">
        <v>44552</v>
      </c>
      <c r="C3873" s="1" t="n">
        <v>45192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1.4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73831-2021</t>
        </is>
      </c>
      <c r="B3874" s="1" t="n">
        <v>44552</v>
      </c>
      <c r="C3874" s="1" t="n">
        <v>45192</v>
      </c>
      <c r="D3874" t="inlineStr">
        <is>
          <t>ÖSTERGÖTLANDS LÄN</t>
        </is>
      </c>
      <c r="E3874" t="inlineStr">
        <is>
          <t>FINSPÅNG</t>
        </is>
      </c>
      <c r="G3874" t="n">
        <v>1.7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74111-2021</t>
        </is>
      </c>
      <c r="B3875" s="1" t="n">
        <v>44557</v>
      </c>
      <c r="C3875" s="1" t="n">
        <v>45192</v>
      </c>
      <c r="D3875" t="inlineStr">
        <is>
          <t>ÖSTERGÖTLANDS LÄN</t>
        </is>
      </c>
      <c r="E3875" t="inlineStr">
        <is>
          <t>BOXHOLM</t>
        </is>
      </c>
      <c r="G3875" t="n">
        <v>5.3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74010-2021</t>
        </is>
      </c>
      <c r="B3876" s="1" t="n">
        <v>44557</v>
      </c>
      <c r="C3876" s="1" t="n">
        <v>45192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74113-2021</t>
        </is>
      </c>
      <c r="B3877" s="1" t="n">
        <v>44557</v>
      </c>
      <c r="C3877" s="1" t="n">
        <v>45192</v>
      </c>
      <c r="D3877" t="inlineStr">
        <is>
          <t>ÖSTERGÖTLANDS LÄN</t>
        </is>
      </c>
      <c r="E3877" t="inlineStr">
        <is>
          <t>NORRKÖPING</t>
        </is>
      </c>
      <c r="F3877" t="inlineStr">
        <is>
          <t>Holmen skog AB</t>
        </is>
      </c>
      <c r="G3877" t="n">
        <v>1.9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74128-2021</t>
        </is>
      </c>
      <c r="B3878" s="1" t="n">
        <v>44557</v>
      </c>
      <c r="C3878" s="1" t="n">
        <v>45192</v>
      </c>
      <c r="D3878" t="inlineStr">
        <is>
          <t>ÖSTERGÖTLANDS LÄN</t>
        </is>
      </c>
      <c r="E3878" t="inlineStr">
        <is>
          <t>BOXHOLM</t>
        </is>
      </c>
      <c r="G3878" t="n">
        <v>4.9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74160-2021</t>
        </is>
      </c>
      <c r="B3879" s="1" t="n">
        <v>44558</v>
      </c>
      <c r="C3879" s="1" t="n">
        <v>45192</v>
      </c>
      <c r="D3879" t="inlineStr">
        <is>
          <t>ÖSTERGÖTLANDS LÄN</t>
        </is>
      </c>
      <c r="E3879" t="inlineStr">
        <is>
          <t>LINKÖPING</t>
        </is>
      </c>
      <c r="G3879" t="n">
        <v>0.6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74446-2021</t>
        </is>
      </c>
      <c r="B3880" s="1" t="n">
        <v>44560</v>
      </c>
      <c r="C3880" s="1" t="n">
        <v>45192</v>
      </c>
      <c r="D3880" t="inlineStr">
        <is>
          <t>ÖSTERGÖTLANDS LÄN</t>
        </is>
      </c>
      <c r="E3880" t="inlineStr">
        <is>
          <t>KINDA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107-2022</t>
        </is>
      </c>
      <c r="B3881" s="1" t="n">
        <v>44564</v>
      </c>
      <c r="C3881" s="1" t="n">
        <v>45192</v>
      </c>
      <c r="D3881" t="inlineStr">
        <is>
          <t>ÖSTERGÖTLANDS LÄN</t>
        </is>
      </c>
      <c r="E3881" t="inlineStr">
        <is>
          <t>ÖDESHÖG</t>
        </is>
      </c>
      <c r="F3881" t="inlineStr">
        <is>
          <t>Sveaskog</t>
        </is>
      </c>
      <c r="G3881" t="n">
        <v>2.2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109-2022</t>
        </is>
      </c>
      <c r="B3882" s="1" t="n">
        <v>44564</v>
      </c>
      <c r="C3882" s="1" t="n">
        <v>45192</v>
      </c>
      <c r="D3882" t="inlineStr">
        <is>
          <t>ÖSTERGÖTLANDS LÄN</t>
        </is>
      </c>
      <c r="E3882" t="inlineStr">
        <is>
          <t>ÅTVIDABERG</t>
        </is>
      </c>
      <c r="G3882" t="n">
        <v>5.2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159-2022</t>
        </is>
      </c>
      <c r="B3883" s="1" t="n">
        <v>44564</v>
      </c>
      <c r="C3883" s="1" t="n">
        <v>45192</v>
      </c>
      <c r="D3883" t="inlineStr">
        <is>
          <t>ÖSTERGÖTLANDS LÄN</t>
        </is>
      </c>
      <c r="E3883" t="inlineStr">
        <is>
          <t>LINKÖPING</t>
        </is>
      </c>
      <c r="G3883" t="n">
        <v>0.3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189-2022</t>
        </is>
      </c>
      <c r="B3884" s="1" t="n">
        <v>44564</v>
      </c>
      <c r="C3884" s="1" t="n">
        <v>45192</v>
      </c>
      <c r="D3884" t="inlineStr">
        <is>
          <t>ÖSTERGÖTLANDS LÄN</t>
        </is>
      </c>
      <c r="E3884" t="inlineStr">
        <is>
          <t>FINSPÅNG</t>
        </is>
      </c>
      <c r="G3884" t="n">
        <v>1.8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114-2022</t>
        </is>
      </c>
      <c r="B3885" s="1" t="n">
        <v>44564</v>
      </c>
      <c r="C3885" s="1" t="n">
        <v>45192</v>
      </c>
      <c r="D3885" t="inlineStr">
        <is>
          <t>ÖSTERGÖTLANDS LÄN</t>
        </is>
      </c>
      <c r="E3885" t="inlineStr">
        <is>
          <t>ÅTVIDABERG</t>
        </is>
      </c>
      <c r="G3885" t="n">
        <v>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191-2022</t>
        </is>
      </c>
      <c r="B3886" s="1" t="n">
        <v>44564</v>
      </c>
      <c r="C3886" s="1" t="n">
        <v>45192</v>
      </c>
      <c r="D3886" t="inlineStr">
        <is>
          <t>ÖSTERGÖTLANDS LÄN</t>
        </is>
      </c>
      <c r="E3886" t="inlineStr">
        <is>
          <t>LINKÖPING</t>
        </is>
      </c>
      <c r="G3886" t="n">
        <v>1.5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261-2022</t>
        </is>
      </c>
      <c r="B3887" s="1" t="n">
        <v>44565</v>
      </c>
      <c r="C3887" s="1" t="n">
        <v>45192</v>
      </c>
      <c r="D3887" t="inlineStr">
        <is>
          <t>ÖSTERGÖTLANDS LÄN</t>
        </is>
      </c>
      <c r="E3887" t="inlineStr">
        <is>
          <t>MOTALA</t>
        </is>
      </c>
      <c r="G3887" t="n">
        <v>1.4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335-2022</t>
        </is>
      </c>
      <c r="B3888" s="1" t="n">
        <v>44565</v>
      </c>
      <c r="C3888" s="1" t="n">
        <v>45192</v>
      </c>
      <c r="D3888" t="inlineStr">
        <is>
          <t>ÖSTERGÖTLANDS LÄN</t>
        </is>
      </c>
      <c r="E3888" t="inlineStr">
        <is>
          <t>LINKÖPING</t>
        </is>
      </c>
      <c r="G3888" t="n">
        <v>3.9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270-2022</t>
        </is>
      </c>
      <c r="B3889" s="1" t="n">
        <v>44565</v>
      </c>
      <c r="C3889" s="1" t="n">
        <v>45192</v>
      </c>
      <c r="D3889" t="inlineStr">
        <is>
          <t>ÖSTERGÖTLANDS LÄN</t>
        </is>
      </c>
      <c r="E3889" t="inlineStr">
        <is>
          <t>ÅTVIDABERG</t>
        </is>
      </c>
      <c r="G3889" t="n">
        <v>0.8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350-2022</t>
        </is>
      </c>
      <c r="B3890" s="1" t="n">
        <v>44565</v>
      </c>
      <c r="C3890" s="1" t="n">
        <v>45192</v>
      </c>
      <c r="D3890" t="inlineStr">
        <is>
          <t>ÖSTERGÖTLANDS LÄN</t>
        </is>
      </c>
      <c r="E3890" t="inlineStr">
        <is>
          <t>LINKÖPING</t>
        </is>
      </c>
      <c r="G3890" t="n">
        <v>1.2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421-2022</t>
        </is>
      </c>
      <c r="B3891" s="1" t="n">
        <v>44565</v>
      </c>
      <c r="C3891" s="1" t="n">
        <v>45192</v>
      </c>
      <c r="D3891" t="inlineStr">
        <is>
          <t>ÖSTERGÖTLANDS LÄN</t>
        </is>
      </c>
      <c r="E3891" t="inlineStr">
        <is>
          <t>NORRKÖPING</t>
        </is>
      </c>
      <c r="F3891" t="inlineStr">
        <is>
          <t>Allmännings- och besparingsskogar</t>
        </is>
      </c>
      <c r="G3891" t="n">
        <v>9.300000000000001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552-2022</t>
        </is>
      </c>
      <c r="B3892" s="1" t="n">
        <v>44566</v>
      </c>
      <c r="C3892" s="1" t="n">
        <v>45192</v>
      </c>
      <c r="D3892" t="inlineStr">
        <is>
          <t>ÖSTERGÖTLANDS LÄN</t>
        </is>
      </c>
      <c r="E3892" t="inlineStr">
        <is>
          <t>YDRE</t>
        </is>
      </c>
      <c r="G3892" t="n">
        <v>2.7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611-2022</t>
        </is>
      </c>
      <c r="B3893" s="1" t="n">
        <v>44567</v>
      </c>
      <c r="C3893" s="1" t="n">
        <v>45192</v>
      </c>
      <c r="D3893" t="inlineStr">
        <is>
          <t>ÖSTERGÖTLANDS LÄN</t>
        </is>
      </c>
      <c r="E3893" t="inlineStr">
        <is>
          <t>SÖDERKÖPING</t>
        </is>
      </c>
      <c r="G3893" t="n">
        <v>2.9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619-2022</t>
        </is>
      </c>
      <c r="B3894" s="1" t="n">
        <v>44567</v>
      </c>
      <c r="C3894" s="1" t="n">
        <v>45192</v>
      </c>
      <c r="D3894" t="inlineStr">
        <is>
          <t>ÖSTERGÖTLANDS LÄN</t>
        </is>
      </c>
      <c r="E3894" t="inlineStr">
        <is>
          <t>SÖDERKÖPING</t>
        </is>
      </c>
      <c r="G3894" t="n">
        <v>4.3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673-2022</t>
        </is>
      </c>
      <c r="B3895" s="1" t="n">
        <v>44568</v>
      </c>
      <c r="C3895" s="1" t="n">
        <v>45192</v>
      </c>
      <c r="D3895" t="inlineStr">
        <is>
          <t>ÖSTERGÖTLANDS LÄN</t>
        </is>
      </c>
      <c r="E3895" t="inlineStr">
        <is>
          <t>FINSPÅNG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948-2022</t>
        </is>
      </c>
      <c r="B3896" s="1" t="n">
        <v>44571</v>
      </c>
      <c r="C3896" s="1" t="n">
        <v>45192</v>
      </c>
      <c r="D3896" t="inlineStr">
        <is>
          <t>ÖSTERGÖTLANDS LÄN</t>
        </is>
      </c>
      <c r="E3896" t="inlineStr">
        <is>
          <t>LINKÖPING</t>
        </is>
      </c>
      <c r="G3896" t="n">
        <v>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987-2022</t>
        </is>
      </c>
      <c r="B3897" s="1" t="n">
        <v>44571</v>
      </c>
      <c r="C3897" s="1" t="n">
        <v>45192</v>
      </c>
      <c r="D3897" t="inlineStr">
        <is>
          <t>ÖSTERGÖTLANDS LÄN</t>
        </is>
      </c>
      <c r="E3897" t="inlineStr">
        <is>
          <t>MOTALA</t>
        </is>
      </c>
      <c r="G3897" t="n">
        <v>8.5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940-2022</t>
        </is>
      </c>
      <c r="B3898" s="1" t="n">
        <v>44571</v>
      </c>
      <c r="C3898" s="1" t="n">
        <v>45192</v>
      </c>
      <c r="D3898" t="inlineStr">
        <is>
          <t>ÖSTERGÖTLANDS LÄN</t>
        </is>
      </c>
      <c r="E3898" t="inlineStr">
        <is>
          <t>MOTALA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1122-2022</t>
        </is>
      </c>
      <c r="B3899" s="1" t="n">
        <v>44571</v>
      </c>
      <c r="C3899" s="1" t="n">
        <v>45192</v>
      </c>
      <c r="D3899" t="inlineStr">
        <is>
          <t>ÖSTERGÖTLANDS LÄN</t>
        </is>
      </c>
      <c r="E3899" t="inlineStr">
        <is>
          <t>LINKÖPING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1041-2022</t>
        </is>
      </c>
      <c r="B3900" s="1" t="n">
        <v>44571</v>
      </c>
      <c r="C3900" s="1" t="n">
        <v>45192</v>
      </c>
      <c r="D3900" t="inlineStr">
        <is>
          <t>ÖSTERGÖTLANDS LÄN</t>
        </is>
      </c>
      <c r="E3900" t="inlineStr">
        <is>
          <t>NORRKÖPING</t>
        </is>
      </c>
      <c r="F3900" t="inlineStr">
        <is>
          <t>Holmen skog AB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1176-2022</t>
        </is>
      </c>
      <c r="B3901" s="1" t="n">
        <v>44572</v>
      </c>
      <c r="C3901" s="1" t="n">
        <v>45192</v>
      </c>
      <c r="D3901" t="inlineStr">
        <is>
          <t>ÖSTERGÖTLANDS LÄN</t>
        </is>
      </c>
      <c r="E3901" t="inlineStr">
        <is>
          <t>YDRE</t>
        </is>
      </c>
      <c r="G3901" t="n">
        <v>1.1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1247-2022</t>
        </is>
      </c>
      <c r="B3902" s="1" t="n">
        <v>44572</v>
      </c>
      <c r="C3902" s="1" t="n">
        <v>45192</v>
      </c>
      <c r="D3902" t="inlineStr">
        <is>
          <t>ÖSTERGÖTLANDS LÄN</t>
        </is>
      </c>
      <c r="E3902" t="inlineStr">
        <is>
          <t>SÖDERKÖPING</t>
        </is>
      </c>
      <c r="G3902" t="n">
        <v>5.6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1312-2022</t>
        </is>
      </c>
      <c r="B3903" s="1" t="n">
        <v>44572</v>
      </c>
      <c r="C3903" s="1" t="n">
        <v>45192</v>
      </c>
      <c r="D3903" t="inlineStr">
        <is>
          <t>ÖSTERGÖTLANDS LÄN</t>
        </is>
      </c>
      <c r="E3903" t="inlineStr">
        <is>
          <t>ÖDESHÖG</t>
        </is>
      </c>
      <c r="G3903" t="n">
        <v>2.8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1554-2022</t>
        </is>
      </c>
      <c r="B3904" s="1" t="n">
        <v>44573</v>
      </c>
      <c r="C3904" s="1" t="n">
        <v>45192</v>
      </c>
      <c r="D3904" t="inlineStr">
        <is>
          <t>ÖSTERGÖTLANDS LÄN</t>
        </is>
      </c>
      <c r="E3904" t="inlineStr">
        <is>
          <t>MJÖLBY</t>
        </is>
      </c>
      <c r="G3904" t="n">
        <v>0.3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1606-2022</t>
        </is>
      </c>
      <c r="B3905" s="1" t="n">
        <v>44573</v>
      </c>
      <c r="C3905" s="1" t="n">
        <v>45192</v>
      </c>
      <c r="D3905" t="inlineStr">
        <is>
          <t>ÖSTERGÖTLANDS LÄN</t>
        </is>
      </c>
      <c r="E3905" t="inlineStr">
        <is>
          <t>VALDEMARSVIK</t>
        </is>
      </c>
      <c r="G3905" t="n">
        <v>4.6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1424-2022</t>
        </is>
      </c>
      <c r="B3906" s="1" t="n">
        <v>44573</v>
      </c>
      <c r="C3906" s="1" t="n">
        <v>45192</v>
      </c>
      <c r="D3906" t="inlineStr">
        <is>
          <t>ÖSTERGÖTLANDS LÄN</t>
        </is>
      </c>
      <c r="E3906" t="inlineStr">
        <is>
          <t>VALDEMARSVIK</t>
        </is>
      </c>
      <c r="G3906" t="n">
        <v>0.5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1461-2022</t>
        </is>
      </c>
      <c r="B3907" s="1" t="n">
        <v>44573</v>
      </c>
      <c r="C3907" s="1" t="n">
        <v>45192</v>
      </c>
      <c r="D3907" t="inlineStr">
        <is>
          <t>ÖSTERGÖTLANDS LÄN</t>
        </is>
      </c>
      <c r="E3907" t="inlineStr">
        <is>
          <t>FINSPÅNG</t>
        </is>
      </c>
      <c r="F3907" t="inlineStr">
        <is>
          <t>Övriga Aktiebolag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1543-2022</t>
        </is>
      </c>
      <c r="B3908" s="1" t="n">
        <v>44573</v>
      </c>
      <c r="C3908" s="1" t="n">
        <v>45192</v>
      </c>
      <c r="D3908" t="inlineStr">
        <is>
          <t>ÖSTERGÖTLANDS LÄN</t>
        </is>
      </c>
      <c r="E3908" t="inlineStr">
        <is>
          <t>VALDEMARSVIK</t>
        </is>
      </c>
      <c r="G3908" t="n">
        <v>6.5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1552-2022</t>
        </is>
      </c>
      <c r="B3909" s="1" t="n">
        <v>44573</v>
      </c>
      <c r="C3909" s="1" t="n">
        <v>45192</v>
      </c>
      <c r="D3909" t="inlineStr">
        <is>
          <t>ÖSTERGÖTLANDS LÄN</t>
        </is>
      </c>
      <c r="E3909" t="inlineStr">
        <is>
          <t>MJÖLBY</t>
        </is>
      </c>
      <c r="G3909" t="n">
        <v>1.3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1645-2022</t>
        </is>
      </c>
      <c r="B3910" s="1" t="n">
        <v>44573</v>
      </c>
      <c r="C3910" s="1" t="n">
        <v>45192</v>
      </c>
      <c r="D3910" t="inlineStr">
        <is>
          <t>ÖSTERGÖTLANDS LÄN</t>
        </is>
      </c>
      <c r="E3910" t="inlineStr">
        <is>
          <t>MOTALA</t>
        </is>
      </c>
      <c r="G3910" t="n">
        <v>2.5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1506-2022</t>
        </is>
      </c>
      <c r="B3911" s="1" t="n">
        <v>44573</v>
      </c>
      <c r="C3911" s="1" t="n">
        <v>45192</v>
      </c>
      <c r="D3911" t="inlineStr">
        <is>
          <t>ÖSTERGÖTLANDS LÄN</t>
        </is>
      </c>
      <c r="E3911" t="inlineStr">
        <is>
          <t>NORRKÖPING</t>
        </is>
      </c>
      <c r="G3911" t="n">
        <v>3.9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1581-2022</t>
        </is>
      </c>
      <c r="B3912" s="1" t="n">
        <v>44573</v>
      </c>
      <c r="C3912" s="1" t="n">
        <v>45192</v>
      </c>
      <c r="D3912" t="inlineStr">
        <is>
          <t>ÖSTERGÖTLANDS LÄN</t>
        </is>
      </c>
      <c r="E3912" t="inlineStr">
        <is>
          <t>LINKÖPING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1596-2022</t>
        </is>
      </c>
      <c r="B3913" s="1" t="n">
        <v>44573</v>
      </c>
      <c r="C3913" s="1" t="n">
        <v>45192</v>
      </c>
      <c r="D3913" t="inlineStr">
        <is>
          <t>ÖSTERGÖTLANDS LÄN</t>
        </is>
      </c>
      <c r="E3913" t="inlineStr">
        <is>
          <t>VALDEMARSVIK</t>
        </is>
      </c>
      <c r="G3913" t="n">
        <v>1.7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1423-2022</t>
        </is>
      </c>
      <c r="B3914" s="1" t="n">
        <v>44573</v>
      </c>
      <c r="C3914" s="1" t="n">
        <v>45192</v>
      </c>
      <c r="D3914" t="inlineStr">
        <is>
          <t>ÖSTERGÖTLANDS LÄN</t>
        </is>
      </c>
      <c r="E3914" t="inlineStr">
        <is>
          <t>VALDEMARSVIK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1602-2022</t>
        </is>
      </c>
      <c r="B3915" s="1" t="n">
        <v>44573</v>
      </c>
      <c r="C3915" s="1" t="n">
        <v>45192</v>
      </c>
      <c r="D3915" t="inlineStr">
        <is>
          <t>ÖSTERGÖTLANDS LÄN</t>
        </is>
      </c>
      <c r="E3915" t="inlineStr">
        <is>
          <t>LINKÖPING</t>
        </is>
      </c>
      <c r="G3915" t="n">
        <v>4.1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1651-2022</t>
        </is>
      </c>
      <c r="B3916" s="1" t="n">
        <v>44573</v>
      </c>
      <c r="C3916" s="1" t="n">
        <v>45192</v>
      </c>
      <c r="D3916" t="inlineStr">
        <is>
          <t>ÖSTERGÖTLANDS LÄN</t>
        </is>
      </c>
      <c r="E3916" t="inlineStr">
        <is>
          <t>MOTALA</t>
        </is>
      </c>
      <c r="G3916" t="n">
        <v>4.5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1730-2022</t>
        </is>
      </c>
      <c r="B3917" s="1" t="n">
        <v>44574</v>
      </c>
      <c r="C3917" s="1" t="n">
        <v>45192</v>
      </c>
      <c r="D3917" t="inlineStr">
        <is>
          <t>ÖSTERGÖTLANDS LÄN</t>
        </is>
      </c>
      <c r="E3917" t="inlineStr">
        <is>
          <t>FINSPÅNG</t>
        </is>
      </c>
      <c r="F3917" t="inlineStr">
        <is>
          <t>Holmen skog AB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1687-2022</t>
        </is>
      </c>
      <c r="B3918" s="1" t="n">
        <v>44574</v>
      </c>
      <c r="C3918" s="1" t="n">
        <v>45192</v>
      </c>
      <c r="D3918" t="inlineStr">
        <is>
          <t>ÖSTERGÖTLANDS LÄN</t>
        </is>
      </c>
      <c r="E3918" t="inlineStr">
        <is>
          <t>NORRKÖPING</t>
        </is>
      </c>
      <c r="G3918" t="n">
        <v>0.9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1722-2022</t>
        </is>
      </c>
      <c r="B3919" s="1" t="n">
        <v>44574</v>
      </c>
      <c r="C3919" s="1" t="n">
        <v>45192</v>
      </c>
      <c r="D3919" t="inlineStr">
        <is>
          <t>ÖSTERGÖTLANDS LÄN</t>
        </is>
      </c>
      <c r="E3919" t="inlineStr">
        <is>
          <t>FINSPÅNG</t>
        </is>
      </c>
      <c r="F3919" t="inlineStr">
        <is>
          <t>Holmen skog AB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1787-2022</t>
        </is>
      </c>
      <c r="B3920" s="1" t="n">
        <v>44574</v>
      </c>
      <c r="C3920" s="1" t="n">
        <v>45192</v>
      </c>
      <c r="D3920" t="inlineStr">
        <is>
          <t>ÖSTERGÖTLANDS LÄN</t>
        </is>
      </c>
      <c r="E3920" t="inlineStr">
        <is>
          <t>LINKÖPING</t>
        </is>
      </c>
      <c r="G3920" t="n">
        <v>1.9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1832-2022</t>
        </is>
      </c>
      <c r="B3921" s="1" t="n">
        <v>44574</v>
      </c>
      <c r="C3921" s="1" t="n">
        <v>45192</v>
      </c>
      <c r="D3921" t="inlineStr">
        <is>
          <t>ÖSTERGÖTLANDS LÄN</t>
        </is>
      </c>
      <c r="E3921" t="inlineStr">
        <is>
          <t>FINSPÅNG</t>
        </is>
      </c>
      <c r="G3921" t="n">
        <v>0.6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1851-2022</t>
        </is>
      </c>
      <c r="B3922" s="1" t="n">
        <v>44574</v>
      </c>
      <c r="C3922" s="1" t="n">
        <v>45192</v>
      </c>
      <c r="D3922" t="inlineStr">
        <is>
          <t>ÖSTERGÖTLANDS LÄN</t>
        </is>
      </c>
      <c r="E3922" t="inlineStr">
        <is>
          <t>FINSPÅNG</t>
        </is>
      </c>
      <c r="G3922" t="n">
        <v>1.4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1885-2022</t>
        </is>
      </c>
      <c r="B3923" s="1" t="n">
        <v>44575</v>
      </c>
      <c r="C3923" s="1" t="n">
        <v>45192</v>
      </c>
      <c r="D3923" t="inlineStr">
        <is>
          <t>ÖSTERGÖTLANDS LÄN</t>
        </is>
      </c>
      <c r="E3923" t="inlineStr">
        <is>
          <t>KINDA</t>
        </is>
      </c>
      <c r="G3923" t="n">
        <v>1.7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1935-2022</t>
        </is>
      </c>
      <c r="B3924" s="1" t="n">
        <v>44575</v>
      </c>
      <c r="C3924" s="1" t="n">
        <v>45192</v>
      </c>
      <c r="D3924" t="inlineStr">
        <is>
          <t>ÖSTERGÖTLANDS LÄN</t>
        </is>
      </c>
      <c r="E3924" t="inlineStr">
        <is>
          <t>NORRKÖPING</t>
        </is>
      </c>
      <c r="G3924" t="n">
        <v>2.1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1974-2022</t>
        </is>
      </c>
      <c r="B3925" s="1" t="n">
        <v>44575</v>
      </c>
      <c r="C3925" s="1" t="n">
        <v>45192</v>
      </c>
      <c r="D3925" t="inlineStr">
        <is>
          <t>ÖSTERGÖTLANDS LÄN</t>
        </is>
      </c>
      <c r="E3925" t="inlineStr">
        <is>
          <t>VALDEMARSVIK</t>
        </is>
      </c>
      <c r="G3925" t="n">
        <v>1.2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2028-2022</t>
        </is>
      </c>
      <c r="B3926" s="1" t="n">
        <v>44575</v>
      </c>
      <c r="C3926" s="1" t="n">
        <v>45192</v>
      </c>
      <c r="D3926" t="inlineStr">
        <is>
          <t>ÖSTERGÖTLANDS LÄN</t>
        </is>
      </c>
      <c r="E3926" t="inlineStr">
        <is>
          <t>MOTALA</t>
        </is>
      </c>
      <c r="G3926" t="n">
        <v>3.5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2263-2022</t>
        </is>
      </c>
      <c r="B3927" s="1" t="n">
        <v>44578</v>
      </c>
      <c r="C3927" s="1" t="n">
        <v>45192</v>
      </c>
      <c r="D3927" t="inlineStr">
        <is>
          <t>ÖSTERGÖTLANDS LÄN</t>
        </is>
      </c>
      <c r="E3927" t="inlineStr">
        <is>
          <t>FINSPÅNG</t>
        </is>
      </c>
      <c r="F3927" t="inlineStr">
        <is>
          <t>Holmen skog AB</t>
        </is>
      </c>
      <c r="G3927" t="n">
        <v>0.9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2253-2022</t>
        </is>
      </c>
      <c r="B3928" s="1" t="n">
        <v>44578</v>
      </c>
      <c r="C3928" s="1" t="n">
        <v>45192</v>
      </c>
      <c r="D3928" t="inlineStr">
        <is>
          <t>ÖSTERGÖTLANDS LÄN</t>
        </is>
      </c>
      <c r="E3928" t="inlineStr">
        <is>
          <t>VADSTENA</t>
        </is>
      </c>
      <c r="G3928" t="n">
        <v>0.3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2176-2022</t>
        </is>
      </c>
      <c r="B3929" s="1" t="n">
        <v>44578</v>
      </c>
      <c r="C3929" s="1" t="n">
        <v>45192</v>
      </c>
      <c r="D3929" t="inlineStr">
        <is>
          <t>ÖSTERGÖTLANDS LÄN</t>
        </is>
      </c>
      <c r="E3929" t="inlineStr">
        <is>
          <t>NORRKÖPING</t>
        </is>
      </c>
      <c r="F3929" t="inlineStr">
        <is>
          <t>BillerudKorsnäs AB</t>
        </is>
      </c>
      <c r="G3929" t="n">
        <v>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2210-2022</t>
        </is>
      </c>
      <c r="B3930" s="1" t="n">
        <v>44578</v>
      </c>
      <c r="C3930" s="1" t="n">
        <v>45192</v>
      </c>
      <c r="D3930" t="inlineStr">
        <is>
          <t>ÖSTERGÖTLANDS LÄN</t>
        </is>
      </c>
      <c r="E3930" t="inlineStr">
        <is>
          <t>KINDA</t>
        </is>
      </c>
      <c r="G3930" t="n">
        <v>2.6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2169-2022</t>
        </is>
      </c>
      <c r="B3931" s="1" t="n">
        <v>44578</v>
      </c>
      <c r="C3931" s="1" t="n">
        <v>45192</v>
      </c>
      <c r="D3931" t="inlineStr">
        <is>
          <t>ÖSTERGÖTLANDS LÄN</t>
        </is>
      </c>
      <c r="E3931" t="inlineStr">
        <is>
          <t>NORRKÖPING</t>
        </is>
      </c>
      <c r="F3931" t="inlineStr">
        <is>
          <t>BillerudKorsnäs AB</t>
        </is>
      </c>
      <c r="G3931" t="n">
        <v>0.3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2478-2022</t>
        </is>
      </c>
      <c r="B3932" s="1" t="n">
        <v>44579</v>
      </c>
      <c r="C3932" s="1" t="n">
        <v>45192</v>
      </c>
      <c r="D3932" t="inlineStr">
        <is>
          <t>ÖSTERGÖTLANDS LÄN</t>
        </is>
      </c>
      <c r="E3932" t="inlineStr">
        <is>
          <t>ÅTVIDABERG</t>
        </is>
      </c>
      <c r="G3932" t="n">
        <v>2.6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2715-2022</t>
        </is>
      </c>
      <c r="B3933" s="1" t="n">
        <v>44580</v>
      </c>
      <c r="C3933" s="1" t="n">
        <v>45192</v>
      </c>
      <c r="D3933" t="inlineStr">
        <is>
          <t>ÖSTERGÖTLANDS LÄN</t>
        </is>
      </c>
      <c r="E3933" t="inlineStr">
        <is>
          <t>MJÖLBY</t>
        </is>
      </c>
      <c r="G3933" t="n">
        <v>5.3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2669-2022</t>
        </is>
      </c>
      <c r="B3934" s="1" t="n">
        <v>44580</v>
      </c>
      <c r="C3934" s="1" t="n">
        <v>45192</v>
      </c>
      <c r="D3934" t="inlineStr">
        <is>
          <t>ÖSTERGÖTLANDS LÄN</t>
        </is>
      </c>
      <c r="E3934" t="inlineStr">
        <is>
          <t>BOXHOLM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2805-2022</t>
        </is>
      </c>
      <c r="B3935" s="1" t="n">
        <v>44581</v>
      </c>
      <c r="C3935" s="1" t="n">
        <v>45192</v>
      </c>
      <c r="D3935" t="inlineStr">
        <is>
          <t>ÖSTERGÖTLANDS LÄN</t>
        </is>
      </c>
      <c r="E3935" t="inlineStr">
        <is>
          <t>FINSPÅNG</t>
        </is>
      </c>
      <c r="F3935" t="inlineStr">
        <is>
          <t>Holmen skog AB</t>
        </is>
      </c>
      <c r="G3935" t="n">
        <v>2.3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3013-2022</t>
        </is>
      </c>
      <c r="B3936" s="1" t="n">
        <v>44581</v>
      </c>
      <c r="C3936" s="1" t="n">
        <v>45192</v>
      </c>
      <c r="D3936" t="inlineStr">
        <is>
          <t>ÖSTERGÖTLANDS LÄN</t>
        </is>
      </c>
      <c r="E3936" t="inlineStr">
        <is>
          <t>FINSPÅNG</t>
        </is>
      </c>
      <c r="G3936" t="n">
        <v>0.7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2889-2022</t>
        </is>
      </c>
      <c r="B3937" s="1" t="n">
        <v>44581</v>
      </c>
      <c r="C3937" s="1" t="n">
        <v>45192</v>
      </c>
      <c r="D3937" t="inlineStr">
        <is>
          <t>ÖSTERGÖTLANDS LÄN</t>
        </is>
      </c>
      <c r="E3937" t="inlineStr">
        <is>
          <t>LINKÖPING</t>
        </is>
      </c>
      <c r="G3937" t="n">
        <v>0.5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2999-2022</t>
        </is>
      </c>
      <c r="B3938" s="1" t="n">
        <v>44581</v>
      </c>
      <c r="C3938" s="1" t="n">
        <v>45192</v>
      </c>
      <c r="D3938" t="inlineStr">
        <is>
          <t>ÖSTERGÖTLANDS LÄN</t>
        </is>
      </c>
      <c r="E3938" t="inlineStr">
        <is>
          <t>FINSPÅNG</t>
        </is>
      </c>
      <c r="G3938" t="n">
        <v>2.1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3066-2022</t>
        </is>
      </c>
      <c r="B3939" s="1" t="n">
        <v>44582</v>
      </c>
      <c r="C3939" s="1" t="n">
        <v>45192</v>
      </c>
      <c r="D3939" t="inlineStr">
        <is>
          <t>ÖSTERGÖTLANDS LÄN</t>
        </is>
      </c>
      <c r="E3939" t="inlineStr">
        <is>
          <t>YDRE</t>
        </is>
      </c>
      <c r="G3939" t="n">
        <v>0.7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3116-2022</t>
        </is>
      </c>
      <c r="B3940" s="1" t="n">
        <v>44582</v>
      </c>
      <c r="C3940" s="1" t="n">
        <v>45192</v>
      </c>
      <c r="D3940" t="inlineStr">
        <is>
          <t>ÖSTERGÖTLANDS LÄN</t>
        </is>
      </c>
      <c r="E3940" t="inlineStr">
        <is>
          <t>NORRKÖPING</t>
        </is>
      </c>
      <c r="G3940" t="n">
        <v>3.2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3122-2022</t>
        </is>
      </c>
      <c r="B3941" s="1" t="n">
        <v>44582</v>
      </c>
      <c r="C3941" s="1" t="n">
        <v>45192</v>
      </c>
      <c r="D3941" t="inlineStr">
        <is>
          <t>ÖSTERGÖTLANDS LÄN</t>
        </is>
      </c>
      <c r="E3941" t="inlineStr">
        <is>
          <t>ÖDESHÖG</t>
        </is>
      </c>
      <c r="G3941" t="n">
        <v>0.1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3173-2022</t>
        </is>
      </c>
      <c r="B3942" s="1" t="n">
        <v>44582</v>
      </c>
      <c r="C3942" s="1" t="n">
        <v>45192</v>
      </c>
      <c r="D3942" t="inlineStr">
        <is>
          <t>ÖSTERGÖTLANDS LÄN</t>
        </is>
      </c>
      <c r="E3942" t="inlineStr">
        <is>
          <t>LINKÖPING</t>
        </is>
      </c>
      <c r="F3942" t="inlineStr">
        <is>
          <t>Övriga Aktiebolag</t>
        </is>
      </c>
      <c r="G3942" t="n">
        <v>0.4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3109-2022</t>
        </is>
      </c>
      <c r="B3943" s="1" t="n">
        <v>44582</v>
      </c>
      <c r="C3943" s="1" t="n">
        <v>45192</v>
      </c>
      <c r="D3943" t="inlineStr">
        <is>
          <t>ÖSTERGÖTLANDS LÄN</t>
        </is>
      </c>
      <c r="E3943" t="inlineStr">
        <is>
          <t>FINSPÅNG</t>
        </is>
      </c>
      <c r="G3943" t="n">
        <v>0.6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3164-2022</t>
        </is>
      </c>
      <c r="B3944" s="1" t="n">
        <v>44582</v>
      </c>
      <c r="C3944" s="1" t="n">
        <v>45192</v>
      </c>
      <c r="D3944" t="inlineStr">
        <is>
          <t>ÖSTERGÖTLANDS LÄN</t>
        </is>
      </c>
      <c r="E3944" t="inlineStr">
        <is>
          <t>NORRKÖPING</t>
        </is>
      </c>
      <c r="F3944" t="inlineStr">
        <is>
          <t>Holmen skog AB</t>
        </is>
      </c>
      <c r="G3944" t="n">
        <v>2.6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3322-2022</t>
        </is>
      </c>
      <c r="B3945" s="1" t="n">
        <v>44585</v>
      </c>
      <c r="C3945" s="1" t="n">
        <v>45192</v>
      </c>
      <c r="D3945" t="inlineStr">
        <is>
          <t>ÖSTERGÖTLANDS LÄN</t>
        </is>
      </c>
      <c r="E3945" t="inlineStr">
        <is>
          <t>KINDA</t>
        </is>
      </c>
      <c r="G3945" t="n">
        <v>4.1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3374-2022</t>
        </is>
      </c>
      <c r="B3946" s="1" t="n">
        <v>44585</v>
      </c>
      <c r="C3946" s="1" t="n">
        <v>45192</v>
      </c>
      <c r="D3946" t="inlineStr">
        <is>
          <t>ÖSTERGÖTLANDS LÄN</t>
        </is>
      </c>
      <c r="E3946" t="inlineStr">
        <is>
          <t>YDRE</t>
        </is>
      </c>
      <c r="G3946" t="n">
        <v>2.9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3467-2022</t>
        </is>
      </c>
      <c r="B3947" s="1" t="n">
        <v>44585</v>
      </c>
      <c r="C3947" s="1" t="n">
        <v>45192</v>
      </c>
      <c r="D3947" t="inlineStr">
        <is>
          <t>ÖSTERGÖTLANDS LÄN</t>
        </is>
      </c>
      <c r="E3947" t="inlineStr">
        <is>
          <t>BOXHOLM</t>
        </is>
      </c>
      <c r="G3947" t="n">
        <v>0.8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3312-2022</t>
        </is>
      </c>
      <c r="B3948" s="1" t="n">
        <v>44585</v>
      </c>
      <c r="C3948" s="1" t="n">
        <v>45192</v>
      </c>
      <c r="D3948" t="inlineStr">
        <is>
          <t>ÖSTERGÖTLANDS LÄN</t>
        </is>
      </c>
      <c r="E3948" t="inlineStr">
        <is>
          <t>VALDEMARSVIK</t>
        </is>
      </c>
      <c r="G3948" t="n">
        <v>1.2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3470-2022</t>
        </is>
      </c>
      <c r="B3949" s="1" t="n">
        <v>44585</v>
      </c>
      <c r="C3949" s="1" t="n">
        <v>45192</v>
      </c>
      <c r="D3949" t="inlineStr">
        <is>
          <t>ÖSTERGÖTLANDS LÄN</t>
        </is>
      </c>
      <c r="E3949" t="inlineStr">
        <is>
          <t>BOXHOLM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3533-2022</t>
        </is>
      </c>
      <c r="B3950" s="1" t="n">
        <v>44585</v>
      </c>
      <c r="C3950" s="1" t="n">
        <v>45192</v>
      </c>
      <c r="D3950" t="inlineStr">
        <is>
          <t>ÖSTERGÖTLANDS LÄN</t>
        </is>
      </c>
      <c r="E3950" t="inlineStr">
        <is>
          <t>VALDEMARSVIK</t>
        </is>
      </c>
      <c r="G3950" t="n">
        <v>0.7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3967-2022</t>
        </is>
      </c>
      <c r="B3951" s="1" t="n">
        <v>44586</v>
      </c>
      <c r="C3951" s="1" t="n">
        <v>45192</v>
      </c>
      <c r="D3951" t="inlineStr">
        <is>
          <t>ÖSTERGÖTLANDS LÄN</t>
        </is>
      </c>
      <c r="E3951" t="inlineStr">
        <is>
          <t>MOTALA</t>
        </is>
      </c>
      <c r="G3951" t="n">
        <v>5.4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3567-2022</t>
        </is>
      </c>
      <c r="B3952" s="1" t="n">
        <v>44586</v>
      </c>
      <c r="C3952" s="1" t="n">
        <v>45192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3633-2022</t>
        </is>
      </c>
      <c r="B3953" s="1" t="n">
        <v>44586</v>
      </c>
      <c r="C3953" s="1" t="n">
        <v>45192</v>
      </c>
      <c r="D3953" t="inlineStr">
        <is>
          <t>ÖSTERGÖTLANDS LÄN</t>
        </is>
      </c>
      <c r="E3953" t="inlineStr">
        <is>
          <t>ÅTVIDABERG</t>
        </is>
      </c>
      <c r="G3953" t="n">
        <v>0.8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3949-2022</t>
        </is>
      </c>
      <c r="B3954" s="1" t="n">
        <v>44587</v>
      </c>
      <c r="C3954" s="1" t="n">
        <v>45192</v>
      </c>
      <c r="D3954" t="inlineStr">
        <is>
          <t>ÖSTERGÖTLANDS LÄN</t>
        </is>
      </c>
      <c r="E3954" t="inlineStr">
        <is>
          <t>SÖDERKÖPING</t>
        </is>
      </c>
      <c r="G3954" t="n">
        <v>4.8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4072-2022</t>
        </is>
      </c>
      <c r="B3955" s="1" t="n">
        <v>44587</v>
      </c>
      <c r="C3955" s="1" t="n">
        <v>45192</v>
      </c>
      <c r="D3955" t="inlineStr">
        <is>
          <t>ÖSTERGÖTLANDS LÄN</t>
        </is>
      </c>
      <c r="E3955" t="inlineStr">
        <is>
          <t>LINKÖPING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3895-2022</t>
        </is>
      </c>
      <c r="B3956" s="1" t="n">
        <v>44587</v>
      </c>
      <c r="C3956" s="1" t="n">
        <v>45192</v>
      </c>
      <c r="D3956" t="inlineStr">
        <is>
          <t>ÖSTERGÖTLANDS LÄN</t>
        </is>
      </c>
      <c r="E3956" t="inlineStr">
        <is>
          <t>KINDA</t>
        </is>
      </c>
      <c r="G3956" t="n">
        <v>2.1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3886-2022</t>
        </is>
      </c>
      <c r="B3957" s="1" t="n">
        <v>44587</v>
      </c>
      <c r="C3957" s="1" t="n">
        <v>45192</v>
      </c>
      <c r="D3957" t="inlineStr">
        <is>
          <t>ÖSTERGÖTLANDS LÄN</t>
        </is>
      </c>
      <c r="E3957" t="inlineStr">
        <is>
          <t>KINDA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3894-2022</t>
        </is>
      </c>
      <c r="B3958" s="1" t="n">
        <v>44587</v>
      </c>
      <c r="C3958" s="1" t="n">
        <v>45192</v>
      </c>
      <c r="D3958" t="inlineStr">
        <is>
          <t>ÖSTERGÖTLANDS LÄN</t>
        </is>
      </c>
      <c r="E3958" t="inlineStr">
        <is>
          <t>VALDEMARSVIK</t>
        </is>
      </c>
      <c r="G3958" t="n">
        <v>1.1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4082-2022</t>
        </is>
      </c>
      <c r="B3959" s="1" t="n">
        <v>44587</v>
      </c>
      <c r="C3959" s="1" t="n">
        <v>45192</v>
      </c>
      <c r="D3959" t="inlineStr">
        <is>
          <t>ÖSTERGÖTLANDS LÄN</t>
        </is>
      </c>
      <c r="E3959" t="inlineStr">
        <is>
          <t>LINKÖPING</t>
        </is>
      </c>
      <c r="G3959" t="n">
        <v>3.4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3845-2022</t>
        </is>
      </c>
      <c r="B3960" s="1" t="n">
        <v>44587</v>
      </c>
      <c r="C3960" s="1" t="n">
        <v>45192</v>
      </c>
      <c r="D3960" t="inlineStr">
        <is>
          <t>ÖSTERGÖTLANDS LÄN</t>
        </is>
      </c>
      <c r="E3960" t="inlineStr">
        <is>
          <t>FINSPÅNG</t>
        </is>
      </c>
      <c r="G3960" t="n">
        <v>1.3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3877-2022</t>
        </is>
      </c>
      <c r="B3961" s="1" t="n">
        <v>44587</v>
      </c>
      <c r="C3961" s="1" t="n">
        <v>45192</v>
      </c>
      <c r="D3961" t="inlineStr">
        <is>
          <t>ÖSTERGÖTLANDS LÄN</t>
        </is>
      </c>
      <c r="E3961" t="inlineStr">
        <is>
          <t>KINDA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4027-2022</t>
        </is>
      </c>
      <c r="B3962" s="1" t="n">
        <v>44587</v>
      </c>
      <c r="C3962" s="1" t="n">
        <v>45192</v>
      </c>
      <c r="D3962" t="inlineStr">
        <is>
          <t>ÖSTERGÖTLANDS LÄN</t>
        </is>
      </c>
      <c r="E3962" t="inlineStr">
        <is>
          <t>VALDEMARSVIK</t>
        </is>
      </c>
      <c r="G3962" t="n">
        <v>6.3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4275-2022</t>
        </is>
      </c>
      <c r="B3963" s="1" t="n">
        <v>44588</v>
      </c>
      <c r="C3963" s="1" t="n">
        <v>45192</v>
      </c>
      <c r="D3963" t="inlineStr">
        <is>
          <t>ÖSTERGÖTLANDS LÄN</t>
        </is>
      </c>
      <c r="E3963" t="inlineStr">
        <is>
          <t>FINSPÅNG</t>
        </is>
      </c>
      <c r="F3963" t="inlineStr">
        <is>
          <t>Holmen skog AB</t>
        </is>
      </c>
      <c r="G3963" t="n">
        <v>1.7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4256-2022</t>
        </is>
      </c>
      <c r="B3964" s="1" t="n">
        <v>44588</v>
      </c>
      <c r="C3964" s="1" t="n">
        <v>45192</v>
      </c>
      <c r="D3964" t="inlineStr">
        <is>
          <t>ÖSTERGÖTLANDS LÄN</t>
        </is>
      </c>
      <c r="E3964" t="inlineStr">
        <is>
          <t>LINKÖPING</t>
        </is>
      </c>
      <c r="G3964" t="n">
        <v>1.4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4127-2022</t>
        </is>
      </c>
      <c r="B3965" s="1" t="n">
        <v>44588</v>
      </c>
      <c r="C3965" s="1" t="n">
        <v>45192</v>
      </c>
      <c r="D3965" t="inlineStr">
        <is>
          <t>ÖSTERGÖTLANDS LÄN</t>
        </is>
      </c>
      <c r="E3965" t="inlineStr">
        <is>
          <t>NORRKÖPING</t>
        </is>
      </c>
      <c r="G3965" t="n">
        <v>1.7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4116-2022</t>
        </is>
      </c>
      <c r="B3966" s="1" t="n">
        <v>44588</v>
      </c>
      <c r="C3966" s="1" t="n">
        <v>45192</v>
      </c>
      <c r="D3966" t="inlineStr">
        <is>
          <t>ÖSTERGÖTLANDS LÄN</t>
        </is>
      </c>
      <c r="E3966" t="inlineStr">
        <is>
          <t>FINSPÅNG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4240-2022</t>
        </is>
      </c>
      <c r="B3967" s="1" t="n">
        <v>44588</v>
      </c>
      <c r="C3967" s="1" t="n">
        <v>45192</v>
      </c>
      <c r="D3967" t="inlineStr">
        <is>
          <t>ÖSTERGÖTLANDS LÄN</t>
        </is>
      </c>
      <c r="E3967" t="inlineStr">
        <is>
          <t>LINKÖPING</t>
        </is>
      </c>
      <c r="G3967" t="n">
        <v>0.8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4446-2022</t>
        </is>
      </c>
      <c r="B3968" s="1" t="n">
        <v>44589</v>
      </c>
      <c r="C3968" s="1" t="n">
        <v>45192</v>
      </c>
      <c r="D3968" t="inlineStr">
        <is>
          <t>ÖSTERGÖTLANDS LÄN</t>
        </is>
      </c>
      <c r="E3968" t="inlineStr">
        <is>
          <t>KINDA</t>
        </is>
      </c>
      <c r="G3968" t="n">
        <v>2.1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4351-2022</t>
        </is>
      </c>
      <c r="B3969" s="1" t="n">
        <v>44589</v>
      </c>
      <c r="C3969" s="1" t="n">
        <v>45192</v>
      </c>
      <c r="D3969" t="inlineStr">
        <is>
          <t>ÖSTERGÖTLANDS LÄN</t>
        </is>
      </c>
      <c r="E3969" t="inlineStr">
        <is>
          <t>FINSPÅNG</t>
        </is>
      </c>
      <c r="G3969" t="n">
        <v>0.9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4363-2022</t>
        </is>
      </c>
      <c r="B3970" s="1" t="n">
        <v>44589</v>
      </c>
      <c r="C3970" s="1" t="n">
        <v>45192</v>
      </c>
      <c r="D3970" t="inlineStr">
        <is>
          <t>ÖSTERGÖTLANDS LÄN</t>
        </is>
      </c>
      <c r="E3970" t="inlineStr">
        <is>
          <t>LINKÖPING</t>
        </is>
      </c>
      <c r="G3970" t="n">
        <v>8.199999999999999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4624-2022</t>
        </is>
      </c>
      <c r="B3971" s="1" t="n">
        <v>44592</v>
      </c>
      <c r="C3971" s="1" t="n">
        <v>45192</v>
      </c>
      <c r="D3971" t="inlineStr">
        <is>
          <t>ÖSTERGÖTLANDS LÄN</t>
        </is>
      </c>
      <c r="E3971" t="inlineStr">
        <is>
          <t>YDRE</t>
        </is>
      </c>
      <c r="G3971" t="n">
        <v>1.9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4666-2022</t>
        </is>
      </c>
      <c r="B3972" s="1" t="n">
        <v>44592</v>
      </c>
      <c r="C3972" s="1" t="n">
        <v>45192</v>
      </c>
      <c r="D3972" t="inlineStr">
        <is>
          <t>ÖSTERGÖTLANDS LÄN</t>
        </is>
      </c>
      <c r="E3972" t="inlineStr">
        <is>
          <t>SÖDERKÖPING</t>
        </is>
      </c>
      <c r="G3972" t="n">
        <v>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4772-2022</t>
        </is>
      </c>
      <c r="B3973" s="1" t="n">
        <v>44592</v>
      </c>
      <c r="C3973" s="1" t="n">
        <v>45192</v>
      </c>
      <c r="D3973" t="inlineStr">
        <is>
          <t>ÖSTERGÖTLANDS LÄN</t>
        </is>
      </c>
      <c r="E3973" t="inlineStr">
        <is>
          <t>ÖDESHÖG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4885-2022</t>
        </is>
      </c>
      <c r="B3974" s="1" t="n">
        <v>44593</v>
      </c>
      <c r="C3974" s="1" t="n">
        <v>45192</v>
      </c>
      <c r="D3974" t="inlineStr">
        <is>
          <t>ÖSTERGÖTLANDS LÄN</t>
        </is>
      </c>
      <c r="E3974" t="inlineStr">
        <is>
          <t>ÅTVIDABERG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4927-2022</t>
        </is>
      </c>
      <c r="B3975" s="1" t="n">
        <v>44593</v>
      </c>
      <c r="C3975" s="1" t="n">
        <v>45192</v>
      </c>
      <c r="D3975" t="inlineStr">
        <is>
          <t>ÖSTERGÖTLANDS LÄN</t>
        </is>
      </c>
      <c r="E3975" t="inlineStr">
        <is>
          <t>VALDEMARSVIK</t>
        </is>
      </c>
      <c r="G3975" t="n">
        <v>0.9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4946-2022</t>
        </is>
      </c>
      <c r="B3976" s="1" t="n">
        <v>44593</v>
      </c>
      <c r="C3976" s="1" t="n">
        <v>45192</v>
      </c>
      <c r="D3976" t="inlineStr">
        <is>
          <t>ÖSTERGÖTLANDS LÄN</t>
        </is>
      </c>
      <c r="E3976" t="inlineStr">
        <is>
          <t>VALDEMARSVIK</t>
        </is>
      </c>
      <c r="G3976" t="n">
        <v>4.2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5048-2022</t>
        </is>
      </c>
      <c r="B3977" s="1" t="n">
        <v>44593</v>
      </c>
      <c r="C3977" s="1" t="n">
        <v>45192</v>
      </c>
      <c r="D3977" t="inlineStr">
        <is>
          <t>ÖSTERGÖTLANDS LÄN</t>
        </is>
      </c>
      <c r="E3977" t="inlineStr">
        <is>
          <t>NORRKÖPING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4982-2022</t>
        </is>
      </c>
      <c r="B3978" s="1" t="n">
        <v>44593</v>
      </c>
      <c r="C3978" s="1" t="n">
        <v>45192</v>
      </c>
      <c r="D3978" t="inlineStr">
        <is>
          <t>ÖSTERGÖTLANDS LÄN</t>
        </is>
      </c>
      <c r="E3978" t="inlineStr">
        <is>
          <t>YDRE</t>
        </is>
      </c>
      <c r="F3978" t="inlineStr">
        <is>
          <t>Övriga Aktiebolag</t>
        </is>
      </c>
      <c r="G3978" t="n">
        <v>5.9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5072-2022</t>
        </is>
      </c>
      <c r="B3979" s="1" t="n">
        <v>44593</v>
      </c>
      <c r="C3979" s="1" t="n">
        <v>45192</v>
      </c>
      <c r="D3979" t="inlineStr">
        <is>
          <t>ÖSTERGÖTLANDS LÄN</t>
        </is>
      </c>
      <c r="E3979" t="inlineStr">
        <is>
          <t>SÖDERKÖPING</t>
        </is>
      </c>
      <c r="G3979" t="n">
        <v>6.6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5157-2022</t>
        </is>
      </c>
      <c r="B3980" s="1" t="n">
        <v>44594</v>
      </c>
      <c r="C3980" s="1" t="n">
        <v>45192</v>
      </c>
      <c r="D3980" t="inlineStr">
        <is>
          <t>ÖSTERGÖTLANDS LÄN</t>
        </is>
      </c>
      <c r="E3980" t="inlineStr">
        <is>
          <t>MOTALA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5168-2022</t>
        </is>
      </c>
      <c r="B3981" s="1" t="n">
        <v>44594</v>
      </c>
      <c r="C3981" s="1" t="n">
        <v>45192</v>
      </c>
      <c r="D3981" t="inlineStr">
        <is>
          <t>ÖSTERGÖTLANDS LÄN</t>
        </is>
      </c>
      <c r="E3981" t="inlineStr">
        <is>
          <t>MJÖLBY</t>
        </is>
      </c>
      <c r="G3981" t="n">
        <v>1.6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5197-2022</t>
        </is>
      </c>
      <c r="B3982" s="1" t="n">
        <v>44594</v>
      </c>
      <c r="C3982" s="1" t="n">
        <v>45192</v>
      </c>
      <c r="D3982" t="inlineStr">
        <is>
          <t>ÖSTERGÖTLANDS LÄN</t>
        </is>
      </c>
      <c r="E3982" t="inlineStr">
        <is>
          <t>KINDA</t>
        </is>
      </c>
      <c r="G3982" t="n">
        <v>2.6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5616-2022</t>
        </is>
      </c>
      <c r="B3983" s="1" t="n">
        <v>44595</v>
      </c>
      <c r="C3983" s="1" t="n">
        <v>45192</v>
      </c>
      <c r="D3983" t="inlineStr">
        <is>
          <t>ÖSTERGÖTLANDS LÄN</t>
        </is>
      </c>
      <c r="E3983" t="inlineStr">
        <is>
          <t>FINSPÅNG</t>
        </is>
      </c>
      <c r="G3983" t="n">
        <v>2.5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5438-2022</t>
        </is>
      </c>
      <c r="B3984" s="1" t="n">
        <v>44595</v>
      </c>
      <c r="C3984" s="1" t="n">
        <v>45192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2.3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5595-2022</t>
        </is>
      </c>
      <c r="B3985" s="1" t="n">
        <v>44595</v>
      </c>
      <c r="C3985" s="1" t="n">
        <v>45192</v>
      </c>
      <c r="D3985" t="inlineStr">
        <is>
          <t>ÖSTERGÖTLANDS LÄN</t>
        </is>
      </c>
      <c r="E3985" t="inlineStr">
        <is>
          <t>FINSPÅNG</t>
        </is>
      </c>
      <c r="F3985" t="inlineStr">
        <is>
          <t>Övriga Aktiebolag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5605-2022</t>
        </is>
      </c>
      <c r="B3986" s="1" t="n">
        <v>44595</v>
      </c>
      <c r="C3986" s="1" t="n">
        <v>45192</v>
      </c>
      <c r="D3986" t="inlineStr">
        <is>
          <t>ÖSTERGÖTLANDS LÄN</t>
        </is>
      </c>
      <c r="E3986" t="inlineStr">
        <is>
          <t>LINKÖPING</t>
        </is>
      </c>
      <c r="F3986" t="inlineStr">
        <is>
          <t>Övriga statliga verk och myndigheter</t>
        </is>
      </c>
      <c r="G3986" t="n">
        <v>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5615-2022</t>
        </is>
      </c>
      <c r="B3987" s="1" t="n">
        <v>44595</v>
      </c>
      <c r="C3987" s="1" t="n">
        <v>45192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2.6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5431-2022</t>
        </is>
      </c>
      <c r="B3988" s="1" t="n">
        <v>44595</v>
      </c>
      <c r="C3988" s="1" t="n">
        <v>45192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1.1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5617-2022</t>
        </is>
      </c>
      <c r="B3989" s="1" t="n">
        <v>44595</v>
      </c>
      <c r="C3989" s="1" t="n">
        <v>45192</v>
      </c>
      <c r="D3989" t="inlineStr">
        <is>
          <t>ÖSTERGÖTLANDS LÄN</t>
        </is>
      </c>
      <c r="E3989" t="inlineStr">
        <is>
          <t>FINSPÅNG</t>
        </is>
      </c>
      <c r="G3989" t="n">
        <v>1.9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5577-2022</t>
        </is>
      </c>
      <c r="B3990" s="1" t="n">
        <v>44595</v>
      </c>
      <c r="C3990" s="1" t="n">
        <v>45192</v>
      </c>
      <c r="D3990" t="inlineStr">
        <is>
          <t>ÖSTERGÖTLANDS LÄN</t>
        </is>
      </c>
      <c r="E3990" t="inlineStr">
        <is>
          <t>MOTALA</t>
        </is>
      </c>
      <c r="F3990" t="inlineStr">
        <is>
          <t>Övriga statliga verk och myndigheter</t>
        </is>
      </c>
      <c r="G3990" t="n">
        <v>5.7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5674-2022</t>
        </is>
      </c>
      <c r="B3991" s="1" t="n">
        <v>44595</v>
      </c>
      <c r="C3991" s="1" t="n">
        <v>45192</v>
      </c>
      <c r="D3991" t="inlineStr">
        <is>
          <t>ÖSTERGÖTLANDS LÄN</t>
        </is>
      </c>
      <c r="E3991" t="inlineStr">
        <is>
          <t>FINSPÅNG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5868-2022</t>
        </is>
      </c>
      <c r="B3992" s="1" t="n">
        <v>44596</v>
      </c>
      <c r="C3992" s="1" t="n">
        <v>45192</v>
      </c>
      <c r="D3992" t="inlineStr">
        <is>
          <t>ÖSTERGÖTLANDS LÄN</t>
        </is>
      </c>
      <c r="E3992" t="inlineStr">
        <is>
          <t>NORRKÖPING</t>
        </is>
      </c>
      <c r="F3992" t="inlineStr">
        <is>
          <t>Allmännings- och besparingsskogar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5888-2022</t>
        </is>
      </c>
      <c r="B3993" s="1" t="n">
        <v>44596</v>
      </c>
      <c r="C3993" s="1" t="n">
        <v>45192</v>
      </c>
      <c r="D3993" t="inlineStr">
        <is>
          <t>ÖSTERGÖTLANDS LÄN</t>
        </is>
      </c>
      <c r="E3993" t="inlineStr">
        <is>
          <t>LINKÖPING</t>
        </is>
      </c>
      <c r="G3993" t="n">
        <v>0.6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5725-2022</t>
        </is>
      </c>
      <c r="B3994" s="1" t="n">
        <v>44596</v>
      </c>
      <c r="C3994" s="1" t="n">
        <v>45192</v>
      </c>
      <c r="D3994" t="inlineStr">
        <is>
          <t>ÖSTERGÖTLANDS LÄN</t>
        </is>
      </c>
      <c r="E3994" t="inlineStr">
        <is>
          <t>NORRKÖPING</t>
        </is>
      </c>
      <c r="G3994" t="n">
        <v>1.6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5887-2022</t>
        </is>
      </c>
      <c r="B3995" s="1" t="n">
        <v>44596</v>
      </c>
      <c r="C3995" s="1" t="n">
        <v>45192</v>
      </c>
      <c r="D3995" t="inlineStr">
        <is>
          <t>ÖSTERGÖTLANDS LÄN</t>
        </is>
      </c>
      <c r="E3995" t="inlineStr">
        <is>
          <t>MOTALA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5663-2022</t>
        </is>
      </c>
      <c r="B3996" s="1" t="n">
        <v>44596</v>
      </c>
      <c r="C3996" s="1" t="n">
        <v>45192</v>
      </c>
      <c r="D3996" t="inlineStr">
        <is>
          <t>ÖSTERGÖTLANDS LÄN</t>
        </is>
      </c>
      <c r="E3996" t="inlineStr">
        <is>
          <t>ÅTVIDABERG</t>
        </is>
      </c>
      <c r="G3996" t="n">
        <v>1.8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5912-2022</t>
        </is>
      </c>
      <c r="B3997" s="1" t="n">
        <v>44597</v>
      </c>
      <c r="C3997" s="1" t="n">
        <v>45192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5976-2022</t>
        </is>
      </c>
      <c r="B3998" s="1" t="n">
        <v>44597</v>
      </c>
      <c r="C3998" s="1" t="n">
        <v>45192</v>
      </c>
      <c r="D3998" t="inlineStr">
        <is>
          <t>ÖSTERGÖTLANDS LÄN</t>
        </is>
      </c>
      <c r="E3998" t="inlineStr">
        <is>
          <t>NORRKÖPING</t>
        </is>
      </c>
      <c r="G3998" t="n">
        <v>1.7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5990-2022</t>
        </is>
      </c>
      <c r="B3999" s="1" t="n">
        <v>44599</v>
      </c>
      <c r="C3999" s="1" t="n">
        <v>45192</v>
      </c>
      <c r="D3999" t="inlineStr">
        <is>
          <t>ÖSTERGÖTLANDS LÄN</t>
        </is>
      </c>
      <c r="E3999" t="inlineStr">
        <is>
          <t>MJÖLBY</t>
        </is>
      </c>
      <c r="G3999" t="n">
        <v>1.9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6104-2022</t>
        </is>
      </c>
      <c r="B4000" s="1" t="n">
        <v>44599</v>
      </c>
      <c r="C4000" s="1" t="n">
        <v>45192</v>
      </c>
      <c r="D4000" t="inlineStr">
        <is>
          <t>ÖSTERGÖTLANDS LÄN</t>
        </is>
      </c>
      <c r="E4000" t="inlineStr">
        <is>
          <t>KINDA</t>
        </is>
      </c>
      <c r="G4000" t="n">
        <v>0.5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6038-2022</t>
        </is>
      </c>
      <c r="B4001" s="1" t="n">
        <v>44599</v>
      </c>
      <c r="C4001" s="1" t="n">
        <v>45192</v>
      </c>
      <c r="D4001" t="inlineStr">
        <is>
          <t>ÖSTERGÖTLANDS LÄN</t>
        </is>
      </c>
      <c r="E4001" t="inlineStr">
        <is>
          <t>FINSPÅNG</t>
        </is>
      </c>
      <c r="F4001" t="inlineStr">
        <is>
          <t>Naturvårdsverket</t>
        </is>
      </c>
      <c r="G4001" t="n">
        <v>1.3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6067-2022</t>
        </is>
      </c>
      <c r="B4002" s="1" t="n">
        <v>44599</v>
      </c>
      <c r="C4002" s="1" t="n">
        <v>45192</v>
      </c>
      <c r="D4002" t="inlineStr">
        <is>
          <t>ÖSTERGÖTLANDS LÄN</t>
        </is>
      </c>
      <c r="E4002" t="inlineStr">
        <is>
          <t>NORRKÖPING</t>
        </is>
      </c>
      <c r="G4002" t="n">
        <v>0.4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6103-2022</t>
        </is>
      </c>
      <c r="B4003" s="1" t="n">
        <v>44599</v>
      </c>
      <c r="C4003" s="1" t="n">
        <v>45192</v>
      </c>
      <c r="D4003" t="inlineStr">
        <is>
          <t>ÖSTERGÖTLANDS LÄN</t>
        </is>
      </c>
      <c r="E4003" t="inlineStr">
        <is>
          <t>ÅTVIDABERG</t>
        </is>
      </c>
      <c r="G4003" t="n">
        <v>0.9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6387-2022</t>
        </is>
      </c>
      <c r="B4004" s="1" t="n">
        <v>44600</v>
      </c>
      <c r="C4004" s="1" t="n">
        <v>45192</v>
      </c>
      <c r="D4004" t="inlineStr">
        <is>
          <t>ÖSTERGÖTLANDS LÄN</t>
        </is>
      </c>
      <c r="E4004" t="inlineStr">
        <is>
          <t>LINKÖPING</t>
        </is>
      </c>
      <c r="G4004" t="n">
        <v>1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6395-2022</t>
        </is>
      </c>
      <c r="B4005" s="1" t="n">
        <v>44600</v>
      </c>
      <c r="C4005" s="1" t="n">
        <v>45192</v>
      </c>
      <c r="D4005" t="inlineStr">
        <is>
          <t>ÖSTERGÖTLANDS LÄN</t>
        </is>
      </c>
      <c r="E4005" t="inlineStr">
        <is>
          <t>LINKÖPING</t>
        </is>
      </c>
      <c r="F4005" t="inlineStr">
        <is>
          <t>Övriga statliga verk och myndigheter</t>
        </is>
      </c>
      <c r="G4005" t="n">
        <v>2.9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6402-2022</t>
        </is>
      </c>
      <c r="B4006" s="1" t="n">
        <v>44600</v>
      </c>
      <c r="C4006" s="1" t="n">
        <v>45192</v>
      </c>
      <c r="D4006" t="inlineStr">
        <is>
          <t>ÖSTERGÖTLANDS LÄN</t>
        </is>
      </c>
      <c r="E4006" t="inlineStr">
        <is>
          <t>FINSPÅNG</t>
        </is>
      </c>
      <c r="G4006" t="n">
        <v>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6393-2022</t>
        </is>
      </c>
      <c r="B4007" s="1" t="n">
        <v>44600</v>
      </c>
      <c r="C4007" s="1" t="n">
        <v>45192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7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6401-2022</t>
        </is>
      </c>
      <c r="B4008" s="1" t="n">
        <v>44600</v>
      </c>
      <c r="C4008" s="1" t="n">
        <v>45192</v>
      </c>
      <c r="D4008" t="inlineStr">
        <is>
          <t>ÖSTERGÖTLANDS LÄN</t>
        </is>
      </c>
      <c r="E4008" t="inlineStr">
        <is>
          <t>LINKÖPING</t>
        </is>
      </c>
      <c r="F4008" t="inlineStr">
        <is>
          <t>Övriga statliga verk och myndigheter</t>
        </is>
      </c>
      <c r="G4008" t="n">
        <v>2.8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6328-2022</t>
        </is>
      </c>
      <c r="B4009" s="1" t="n">
        <v>44600</v>
      </c>
      <c r="C4009" s="1" t="n">
        <v>45192</v>
      </c>
      <c r="D4009" t="inlineStr">
        <is>
          <t>ÖSTERGÖTLANDS LÄN</t>
        </is>
      </c>
      <c r="E4009" t="inlineStr">
        <is>
          <t>YDRE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6391-2022</t>
        </is>
      </c>
      <c r="B4010" s="1" t="n">
        <v>44600</v>
      </c>
      <c r="C4010" s="1" t="n">
        <v>45192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2.3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6399-2022</t>
        </is>
      </c>
      <c r="B4011" s="1" t="n">
        <v>44600</v>
      </c>
      <c r="C4011" s="1" t="n">
        <v>45192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6389-2022</t>
        </is>
      </c>
      <c r="B4012" s="1" t="n">
        <v>44600</v>
      </c>
      <c r="C4012" s="1" t="n">
        <v>45192</v>
      </c>
      <c r="D4012" t="inlineStr">
        <is>
          <t>ÖSTERGÖTLANDS LÄN</t>
        </is>
      </c>
      <c r="E4012" t="inlineStr">
        <is>
          <t>KINDA</t>
        </is>
      </c>
      <c r="G4012" t="n">
        <v>0.8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6396-2022</t>
        </is>
      </c>
      <c r="B4013" s="1" t="n">
        <v>44600</v>
      </c>
      <c r="C4013" s="1" t="n">
        <v>45192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1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6503-2022</t>
        </is>
      </c>
      <c r="B4014" s="1" t="n">
        <v>44601</v>
      </c>
      <c r="C4014" s="1" t="n">
        <v>45192</v>
      </c>
      <c r="D4014" t="inlineStr">
        <is>
          <t>ÖSTERGÖTLANDS LÄN</t>
        </is>
      </c>
      <c r="E4014" t="inlineStr">
        <is>
          <t>FINSPÅNG</t>
        </is>
      </c>
      <c r="G4014" t="n">
        <v>0.4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6493-2022</t>
        </is>
      </c>
      <c r="B4015" s="1" t="n">
        <v>44601</v>
      </c>
      <c r="C4015" s="1" t="n">
        <v>45192</v>
      </c>
      <c r="D4015" t="inlineStr">
        <is>
          <t>ÖSTERGÖTLANDS LÄN</t>
        </is>
      </c>
      <c r="E4015" t="inlineStr">
        <is>
          <t>FINSPÅNG</t>
        </is>
      </c>
      <c r="G4015" t="n">
        <v>0.7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6491-2022</t>
        </is>
      </c>
      <c r="B4016" s="1" t="n">
        <v>44601</v>
      </c>
      <c r="C4016" s="1" t="n">
        <v>45192</v>
      </c>
      <c r="D4016" t="inlineStr">
        <is>
          <t>ÖSTERGÖTLANDS LÄN</t>
        </is>
      </c>
      <c r="E4016" t="inlineStr">
        <is>
          <t>FINSPÅNG</t>
        </is>
      </c>
      <c r="G4016" t="n">
        <v>1.5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6519-2022</t>
        </is>
      </c>
      <c r="B4017" s="1" t="n">
        <v>44601</v>
      </c>
      <c r="C4017" s="1" t="n">
        <v>45192</v>
      </c>
      <c r="D4017" t="inlineStr">
        <is>
          <t>ÖSTERGÖTLANDS LÄN</t>
        </is>
      </c>
      <c r="E4017" t="inlineStr">
        <is>
          <t>FINSPÅNG</t>
        </is>
      </c>
      <c r="G4017" t="n">
        <v>0.5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6495-2022</t>
        </is>
      </c>
      <c r="B4018" s="1" t="n">
        <v>44601</v>
      </c>
      <c r="C4018" s="1" t="n">
        <v>45192</v>
      </c>
      <c r="D4018" t="inlineStr">
        <is>
          <t>ÖSTERGÖTLANDS LÄN</t>
        </is>
      </c>
      <c r="E4018" t="inlineStr">
        <is>
          <t>FINSPÅNG</t>
        </is>
      </c>
      <c r="F4018" t="inlineStr">
        <is>
          <t>Naturvårdsverket</t>
        </is>
      </c>
      <c r="G4018" t="n">
        <v>1.5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6780-2022</t>
        </is>
      </c>
      <c r="B4019" s="1" t="n">
        <v>44602</v>
      </c>
      <c r="C4019" s="1" t="n">
        <v>45192</v>
      </c>
      <c r="D4019" t="inlineStr">
        <is>
          <t>ÖSTERGÖTLANDS LÄN</t>
        </is>
      </c>
      <c r="E4019" t="inlineStr">
        <is>
          <t>YDRE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6868-2022</t>
        </is>
      </c>
      <c r="B4020" s="1" t="n">
        <v>44602</v>
      </c>
      <c r="C4020" s="1" t="n">
        <v>45192</v>
      </c>
      <c r="D4020" t="inlineStr">
        <is>
          <t>ÖSTERGÖTLANDS LÄN</t>
        </is>
      </c>
      <c r="E4020" t="inlineStr">
        <is>
          <t>NORRKÖPING</t>
        </is>
      </c>
      <c r="F4020" t="inlineStr">
        <is>
          <t>Holmen skog AB</t>
        </is>
      </c>
      <c r="G4020" t="n">
        <v>0.5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6720-2022</t>
        </is>
      </c>
      <c r="B4021" s="1" t="n">
        <v>44602</v>
      </c>
      <c r="C4021" s="1" t="n">
        <v>45192</v>
      </c>
      <c r="D4021" t="inlineStr">
        <is>
          <t>ÖSTERGÖTLANDS LÄN</t>
        </is>
      </c>
      <c r="E4021" t="inlineStr">
        <is>
          <t>LINKÖPING</t>
        </is>
      </c>
      <c r="G4021" t="n">
        <v>1.2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6996-2022</t>
        </is>
      </c>
      <c r="B4022" s="1" t="n">
        <v>44603</v>
      </c>
      <c r="C4022" s="1" t="n">
        <v>45192</v>
      </c>
      <c r="D4022" t="inlineStr">
        <is>
          <t>ÖSTERGÖTLANDS LÄN</t>
        </is>
      </c>
      <c r="E4022" t="inlineStr">
        <is>
          <t>VALDEMARSVIK</t>
        </is>
      </c>
      <c r="F4022" t="inlineStr">
        <is>
          <t>Övriga Aktiebolag</t>
        </is>
      </c>
      <c r="G4022" t="n">
        <v>4.1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6993-2022</t>
        </is>
      </c>
      <c r="B4023" s="1" t="n">
        <v>44603</v>
      </c>
      <c r="C4023" s="1" t="n">
        <v>45192</v>
      </c>
      <c r="D4023" t="inlineStr">
        <is>
          <t>ÖSTERGÖTLANDS LÄN</t>
        </is>
      </c>
      <c r="E4023" t="inlineStr">
        <is>
          <t>MOTALA</t>
        </is>
      </c>
      <c r="F4023" t="inlineStr">
        <is>
          <t>Övriga statliga verk och myndigheter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7198-2022</t>
        </is>
      </c>
      <c r="B4024" s="1" t="n">
        <v>44606</v>
      </c>
      <c r="C4024" s="1" t="n">
        <v>45192</v>
      </c>
      <c r="D4024" t="inlineStr">
        <is>
          <t>ÖSTERGÖTLANDS LÄN</t>
        </is>
      </c>
      <c r="E4024" t="inlineStr">
        <is>
          <t>FINSPÅNG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7318-2022</t>
        </is>
      </c>
      <c r="B4025" s="1" t="n">
        <v>44606</v>
      </c>
      <c r="C4025" s="1" t="n">
        <v>45192</v>
      </c>
      <c r="D4025" t="inlineStr">
        <is>
          <t>ÖSTERGÖTLANDS LÄN</t>
        </is>
      </c>
      <c r="E4025" t="inlineStr">
        <is>
          <t>MOTALA</t>
        </is>
      </c>
      <c r="G4025" t="n">
        <v>0.6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7652-2022</t>
        </is>
      </c>
      <c r="B4026" s="1" t="n">
        <v>44607</v>
      </c>
      <c r="C4026" s="1" t="n">
        <v>45192</v>
      </c>
      <c r="D4026" t="inlineStr">
        <is>
          <t>ÖSTERGÖTLANDS LÄN</t>
        </is>
      </c>
      <c r="E4026" t="inlineStr">
        <is>
          <t>ÅTVIDABERG</t>
        </is>
      </c>
      <c r="G4026" t="n">
        <v>2.6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7709-2022</t>
        </is>
      </c>
      <c r="B4027" s="1" t="n">
        <v>44607</v>
      </c>
      <c r="C4027" s="1" t="n">
        <v>45192</v>
      </c>
      <c r="D4027" t="inlineStr">
        <is>
          <t>ÖSTERGÖTLANDS LÄN</t>
        </is>
      </c>
      <c r="E4027" t="inlineStr">
        <is>
          <t>NORRKÖPING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7808-2022</t>
        </is>
      </c>
      <c r="B4028" s="1" t="n">
        <v>44608</v>
      </c>
      <c r="C4028" s="1" t="n">
        <v>45192</v>
      </c>
      <c r="D4028" t="inlineStr">
        <is>
          <t>ÖSTERGÖTLANDS LÄN</t>
        </is>
      </c>
      <c r="E4028" t="inlineStr">
        <is>
          <t>LINKÖPING</t>
        </is>
      </c>
      <c r="F4028" t="inlineStr">
        <is>
          <t>Sveaskog</t>
        </is>
      </c>
      <c r="G4028" t="n">
        <v>1.7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7710-2022</t>
        </is>
      </c>
      <c r="B4029" s="1" t="n">
        <v>44608</v>
      </c>
      <c r="C4029" s="1" t="n">
        <v>45192</v>
      </c>
      <c r="D4029" t="inlineStr">
        <is>
          <t>ÖSTERGÖTLANDS LÄN</t>
        </is>
      </c>
      <c r="E4029" t="inlineStr">
        <is>
          <t>MOTALA</t>
        </is>
      </c>
      <c r="G4029" t="n">
        <v>4.1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7805-2022</t>
        </is>
      </c>
      <c r="B4030" s="1" t="n">
        <v>44608</v>
      </c>
      <c r="C4030" s="1" t="n">
        <v>45192</v>
      </c>
      <c r="D4030" t="inlineStr">
        <is>
          <t>ÖSTERGÖTLANDS LÄN</t>
        </is>
      </c>
      <c r="E4030" t="inlineStr">
        <is>
          <t>LINKÖPING</t>
        </is>
      </c>
      <c r="F4030" t="inlineStr">
        <is>
          <t>Sveaskog</t>
        </is>
      </c>
      <c r="G4030" t="n">
        <v>4.2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7840-2022</t>
        </is>
      </c>
      <c r="B4031" s="1" t="n">
        <v>44608</v>
      </c>
      <c r="C4031" s="1" t="n">
        <v>45192</v>
      </c>
      <c r="D4031" t="inlineStr">
        <is>
          <t>ÖSTERGÖTLANDS LÄN</t>
        </is>
      </c>
      <c r="E4031" t="inlineStr">
        <is>
          <t>LINKÖPING</t>
        </is>
      </c>
      <c r="G4031" t="n">
        <v>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7973-2022</t>
        </is>
      </c>
      <c r="B4032" s="1" t="n">
        <v>44609</v>
      </c>
      <c r="C4032" s="1" t="n">
        <v>45192</v>
      </c>
      <c r="D4032" t="inlineStr">
        <is>
          <t>ÖSTERGÖTLANDS LÄN</t>
        </is>
      </c>
      <c r="E4032" t="inlineStr">
        <is>
          <t>NORRKÖPING</t>
        </is>
      </c>
      <c r="G4032" t="n">
        <v>8.699999999999999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8197-2022</t>
        </is>
      </c>
      <c r="B4033" s="1" t="n">
        <v>44609</v>
      </c>
      <c r="C4033" s="1" t="n">
        <v>45192</v>
      </c>
      <c r="D4033" t="inlineStr">
        <is>
          <t>ÖSTERGÖTLANDS LÄN</t>
        </is>
      </c>
      <c r="E4033" t="inlineStr">
        <is>
          <t>NORRKÖPING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8515-2022</t>
        </is>
      </c>
      <c r="B4034" s="1" t="n">
        <v>44613</v>
      </c>
      <c r="C4034" s="1" t="n">
        <v>45192</v>
      </c>
      <c r="D4034" t="inlineStr">
        <is>
          <t>ÖSTERGÖTLANDS LÄN</t>
        </is>
      </c>
      <c r="E4034" t="inlineStr">
        <is>
          <t>ÖDESHÖG</t>
        </is>
      </c>
      <c r="G4034" t="n">
        <v>2.1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8724-2022</t>
        </is>
      </c>
      <c r="B4035" s="1" t="n">
        <v>44613</v>
      </c>
      <c r="C4035" s="1" t="n">
        <v>45192</v>
      </c>
      <c r="D4035" t="inlineStr">
        <is>
          <t>ÖSTERGÖTLANDS LÄN</t>
        </is>
      </c>
      <c r="E4035" t="inlineStr">
        <is>
          <t>MOTALA</t>
        </is>
      </c>
      <c r="G4035" t="n">
        <v>3.9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8604-2022</t>
        </is>
      </c>
      <c r="B4036" s="1" t="n">
        <v>44613</v>
      </c>
      <c r="C4036" s="1" t="n">
        <v>45192</v>
      </c>
      <c r="D4036" t="inlineStr">
        <is>
          <t>ÖSTERGÖTLANDS LÄN</t>
        </is>
      </c>
      <c r="E4036" t="inlineStr">
        <is>
          <t>FINSPÅNG</t>
        </is>
      </c>
      <c r="G4036" t="n">
        <v>0.6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8628-2022</t>
        </is>
      </c>
      <c r="B4037" s="1" t="n">
        <v>44613</v>
      </c>
      <c r="C4037" s="1" t="n">
        <v>45192</v>
      </c>
      <c r="D4037" t="inlineStr">
        <is>
          <t>ÖSTERGÖTLANDS LÄN</t>
        </is>
      </c>
      <c r="E4037" t="inlineStr">
        <is>
          <t>SÖDERKÖPING</t>
        </is>
      </c>
      <c r="G4037" t="n">
        <v>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8615-2022</t>
        </is>
      </c>
      <c r="B4038" s="1" t="n">
        <v>44613</v>
      </c>
      <c r="C4038" s="1" t="n">
        <v>45192</v>
      </c>
      <c r="D4038" t="inlineStr">
        <is>
          <t>ÖSTERGÖTLANDS LÄN</t>
        </is>
      </c>
      <c r="E4038" t="inlineStr">
        <is>
          <t>FINSPÅNG</t>
        </is>
      </c>
      <c r="F4038" t="inlineStr">
        <is>
          <t>Holmen skog AB</t>
        </is>
      </c>
      <c r="G4038" t="n">
        <v>0.5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8717-2022</t>
        </is>
      </c>
      <c r="B4039" s="1" t="n">
        <v>44613</v>
      </c>
      <c r="C4039" s="1" t="n">
        <v>45192</v>
      </c>
      <c r="D4039" t="inlineStr">
        <is>
          <t>ÖSTERGÖTLANDS LÄN</t>
        </is>
      </c>
      <c r="E4039" t="inlineStr">
        <is>
          <t>VALDEMARSVIK</t>
        </is>
      </c>
      <c r="G4039" t="n">
        <v>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8937-2022</t>
        </is>
      </c>
      <c r="B4040" s="1" t="n">
        <v>44614</v>
      </c>
      <c r="C4040" s="1" t="n">
        <v>45192</v>
      </c>
      <c r="D4040" t="inlineStr">
        <is>
          <t>ÖSTERGÖTLANDS LÄN</t>
        </is>
      </c>
      <c r="E4040" t="inlineStr">
        <is>
          <t>FINSPÅNG</t>
        </is>
      </c>
      <c r="G4040" t="n">
        <v>0.8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9030-2022</t>
        </is>
      </c>
      <c r="B4041" s="1" t="n">
        <v>44615</v>
      </c>
      <c r="C4041" s="1" t="n">
        <v>45192</v>
      </c>
      <c r="D4041" t="inlineStr">
        <is>
          <t>ÖSTERGÖTLANDS LÄN</t>
        </is>
      </c>
      <c r="E4041" t="inlineStr">
        <is>
          <t>MJÖLBY</t>
        </is>
      </c>
      <c r="G4041" t="n">
        <v>2.1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9081-2022</t>
        </is>
      </c>
      <c r="B4042" s="1" t="n">
        <v>44615</v>
      </c>
      <c r="C4042" s="1" t="n">
        <v>45192</v>
      </c>
      <c r="D4042" t="inlineStr">
        <is>
          <t>ÖSTERGÖTLANDS LÄN</t>
        </is>
      </c>
      <c r="E4042" t="inlineStr">
        <is>
          <t>MOTALA</t>
        </is>
      </c>
      <c r="G4042" t="n">
        <v>5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9094-2022</t>
        </is>
      </c>
      <c r="B4043" s="1" t="n">
        <v>44615</v>
      </c>
      <c r="C4043" s="1" t="n">
        <v>45192</v>
      </c>
      <c r="D4043" t="inlineStr">
        <is>
          <t>ÖSTERGÖTLANDS LÄN</t>
        </is>
      </c>
      <c r="E4043" t="inlineStr">
        <is>
          <t>MOTALA</t>
        </is>
      </c>
      <c r="G4043" t="n">
        <v>1.1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9282-2022</t>
        </is>
      </c>
      <c r="B4044" s="1" t="n">
        <v>44616</v>
      </c>
      <c r="C4044" s="1" t="n">
        <v>45192</v>
      </c>
      <c r="D4044" t="inlineStr">
        <is>
          <t>ÖSTERGÖTLANDS LÄN</t>
        </is>
      </c>
      <c r="E4044" t="inlineStr">
        <is>
          <t>LINKÖPING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9339-2022</t>
        </is>
      </c>
      <c r="B4045" s="1" t="n">
        <v>44616</v>
      </c>
      <c r="C4045" s="1" t="n">
        <v>45192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9456-2022</t>
        </is>
      </c>
      <c r="B4046" s="1" t="n">
        <v>44616</v>
      </c>
      <c r="C4046" s="1" t="n">
        <v>45192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1.2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9676-2022</t>
        </is>
      </c>
      <c r="B4047" s="1" t="n">
        <v>44617</v>
      </c>
      <c r="C4047" s="1" t="n">
        <v>45192</v>
      </c>
      <c r="D4047" t="inlineStr">
        <is>
          <t>ÖSTERGÖTLANDS LÄN</t>
        </is>
      </c>
      <c r="E4047" t="inlineStr">
        <is>
          <t>ÖDESHÖG</t>
        </is>
      </c>
      <c r="G4047" t="n">
        <v>2.4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9708-2022</t>
        </is>
      </c>
      <c r="B4048" s="1" t="n">
        <v>44617</v>
      </c>
      <c r="C4048" s="1" t="n">
        <v>45192</v>
      </c>
      <c r="D4048" t="inlineStr">
        <is>
          <t>ÖSTERGÖTLANDS LÄN</t>
        </is>
      </c>
      <c r="E4048" t="inlineStr">
        <is>
          <t>MOTALA</t>
        </is>
      </c>
      <c r="G4048" t="n">
        <v>0.4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9746-2022</t>
        </is>
      </c>
      <c r="B4049" s="1" t="n">
        <v>44618</v>
      </c>
      <c r="C4049" s="1" t="n">
        <v>45192</v>
      </c>
      <c r="D4049" t="inlineStr">
        <is>
          <t>ÖSTERGÖTLANDS LÄN</t>
        </is>
      </c>
      <c r="E4049" t="inlineStr">
        <is>
          <t>SÖDERKÖPING</t>
        </is>
      </c>
      <c r="G4049" t="n">
        <v>6.8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9904-2022</t>
        </is>
      </c>
      <c r="B4050" s="1" t="n">
        <v>44620</v>
      </c>
      <c r="C4050" s="1" t="n">
        <v>45192</v>
      </c>
      <c r="D4050" t="inlineStr">
        <is>
          <t>ÖSTERGÖTLANDS LÄN</t>
        </is>
      </c>
      <c r="E4050" t="inlineStr">
        <is>
          <t>YDRE</t>
        </is>
      </c>
      <c r="G4050" t="n">
        <v>1.9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9975-2022</t>
        </is>
      </c>
      <c r="B4051" s="1" t="n">
        <v>44621</v>
      </c>
      <c r="C4051" s="1" t="n">
        <v>45192</v>
      </c>
      <c r="D4051" t="inlineStr">
        <is>
          <t>ÖSTERGÖTLANDS LÄN</t>
        </is>
      </c>
      <c r="E4051" t="inlineStr">
        <is>
          <t>ÅTVIDABERG</t>
        </is>
      </c>
      <c r="G4051" t="n">
        <v>3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10001-2022</t>
        </is>
      </c>
      <c r="B4052" s="1" t="n">
        <v>44621</v>
      </c>
      <c r="C4052" s="1" t="n">
        <v>45192</v>
      </c>
      <c r="D4052" t="inlineStr">
        <is>
          <t>ÖSTERGÖTLANDS LÄN</t>
        </is>
      </c>
      <c r="E4052" t="inlineStr">
        <is>
          <t>YDRE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10253-2022</t>
        </is>
      </c>
      <c r="B4053" s="1" t="n">
        <v>44622</v>
      </c>
      <c r="C4053" s="1" t="n">
        <v>45192</v>
      </c>
      <c r="D4053" t="inlineStr">
        <is>
          <t>ÖSTERGÖTLANDS LÄN</t>
        </is>
      </c>
      <c r="E4053" t="inlineStr">
        <is>
          <t>LINKÖPING</t>
        </is>
      </c>
      <c r="G4053" t="n">
        <v>1.6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10226-2022</t>
        </is>
      </c>
      <c r="B4054" s="1" t="n">
        <v>44622</v>
      </c>
      <c r="C4054" s="1" t="n">
        <v>45192</v>
      </c>
      <c r="D4054" t="inlineStr">
        <is>
          <t>ÖSTERGÖTLANDS LÄN</t>
        </is>
      </c>
      <c r="E4054" t="inlineStr">
        <is>
          <t>ÖDESHÖG</t>
        </is>
      </c>
      <c r="G4054" t="n">
        <v>2.2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10282-2022</t>
        </is>
      </c>
      <c r="B4055" s="1" t="n">
        <v>44622</v>
      </c>
      <c r="C4055" s="1" t="n">
        <v>45192</v>
      </c>
      <c r="D4055" t="inlineStr">
        <is>
          <t>ÖSTERGÖTLANDS LÄN</t>
        </is>
      </c>
      <c r="E4055" t="inlineStr">
        <is>
          <t>NORRKÖPING</t>
        </is>
      </c>
      <c r="F4055" t="inlineStr">
        <is>
          <t>Holmen skog AB</t>
        </is>
      </c>
      <c r="G4055" t="n">
        <v>4.6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10699-2022</t>
        </is>
      </c>
      <c r="B4056" s="1" t="n">
        <v>44624</v>
      </c>
      <c r="C4056" s="1" t="n">
        <v>45192</v>
      </c>
      <c r="D4056" t="inlineStr">
        <is>
          <t>ÖSTERGÖTLANDS LÄN</t>
        </is>
      </c>
      <c r="E4056" t="inlineStr">
        <is>
          <t>YDRE</t>
        </is>
      </c>
      <c r="G4056" t="n">
        <v>2.4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10758-2022</t>
        </is>
      </c>
      <c r="B4057" s="1" t="n">
        <v>44627</v>
      </c>
      <c r="C4057" s="1" t="n">
        <v>45192</v>
      </c>
      <c r="D4057" t="inlineStr">
        <is>
          <t>ÖSTERGÖTLANDS LÄN</t>
        </is>
      </c>
      <c r="E4057" t="inlineStr">
        <is>
          <t>KINDA</t>
        </is>
      </c>
      <c r="G4057" t="n">
        <v>0.1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10887-2022</t>
        </is>
      </c>
      <c r="B4058" s="1" t="n">
        <v>44627</v>
      </c>
      <c r="C4058" s="1" t="n">
        <v>45192</v>
      </c>
      <c r="D4058" t="inlineStr">
        <is>
          <t>ÖSTERGÖTLANDS LÄN</t>
        </is>
      </c>
      <c r="E4058" t="inlineStr">
        <is>
          <t>FINSPÅNG</t>
        </is>
      </c>
      <c r="G4058" t="n">
        <v>0.6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10950-2022</t>
        </is>
      </c>
      <c r="B4059" s="1" t="n">
        <v>44627</v>
      </c>
      <c r="C4059" s="1" t="n">
        <v>45192</v>
      </c>
      <c r="D4059" t="inlineStr">
        <is>
          <t>ÖSTERGÖTLANDS LÄN</t>
        </is>
      </c>
      <c r="E4059" t="inlineStr">
        <is>
          <t>MJÖLBY</t>
        </is>
      </c>
      <c r="G4059" t="n">
        <v>4.1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9644-2022</t>
        </is>
      </c>
      <c r="B4060" s="1" t="n">
        <v>44627</v>
      </c>
      <c r="C4060" s="1" t="n">
        <v>45192</v>
      </c>
      <c r="D4060" t="inlineStr">
        <is>
          <t>ÖSTERGÖTLANDS LÄN</t>
        </is>
      </c>
      <c r="E4060" t="inlineStr">
        <is>
          <t>ÅTVIDABERG</t>
        </is>
      </c>
      <c r="G4060" t="n">
        <v>0.8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10820-2022</t>
        </is>
      </c>
      <c r="B4061" s="1" t="n">
        <v>44627</v>
      </c>
      <c r="C4061" s="1" t="n">
        <v>45192</v>
      </c>
      <c r="D4061" t="inlineStr">
        <is>
          <t>ÖSTERGÖTLANDS LÄN</t>
        </is>
      </c>
      <c r="E4061" t="inlineStr">
        <is>
          <t>ÅTVIDABERG</t>
        </is>
      </c>
      <c r="G4061" t="n">
        <v>1.8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10951-2022</t>
        </is>
      </c>
      <c r="B4062" s="1" t="n">
        <v>44627</v>
      </c>
      <c r="C4062" s="1" t="n">
        <v>45192</v>
      </c>
      <c r="D4062" t="inlineStr">
        <is>
          <t>ÖSTERGÖTLANDS LÄN</t>
        </is>
      </c>
      <c r="E4062" t="inlineStr">
        <is>
          <t>LINKÖPING</t>
        </is>
      </c>
      <c r="G4062" t="n">
        <v>0.8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10836-2022</t>
        </is>
      </c>
      <c r="B4063" s="1" t="n">
        <v>44627</v>
      </c>
      <c r="C4063" s="1" t="n">
        <v>45192</v>
      </c>
      <c r="D4063" t="inlineStr">
        <is>
          <t>ÖSTERGÖTLANDS LÄN</t>
        </is>
      </c>
      <c r="E4063" t="inlineStr">
        <is>
          <t>SÖDERKÖPING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10885-2022</t>
        </is>
      </c>
      <c r="B4064" s="1" t="n">
        <v>44627</v>
      </c>
      <c r="C4064" s="1" t="n">
        <v>45192</v>
      </c>
      <c r="D4064" t="inlineStr">
        <is>
          <t>ÖSTERGÖTLANDS LÄN</t>
        </is>
      </c>
      <c r="E4064" t="inlineStr">
        <is>
          <t>FINSPÅNG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11057-2022</t>
        </is>
      </c>
      <c r="B4065" s="1" t="n">
        <v>44628</v>
      </c>
      <c r="C4065" s="1" t="n">
        <v>45192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11.8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11061-2022</t>
        </is>
      </c>
      <c r="B4066" s="1" t="n">
        <v>44628</v>
      </c>
      <c r="C4066" s="1" t="n">
        <v>45192</v>
      </c>
      <c r="D4066" t="inlineStr">
        <is>
          <t>ÖSTERGÖTLANDS LÄN</t>
        </is>
      </c>
      <c r="E4066" t="inlineStr">
        <is>
          <t>MOTALA</t>
        </is>
      </c>
      <c r="F4066" t="inlineStr">
        <is>
          <t>Allmännings- och besparingsskogar</t>
        </is>
      </c>
      <c r="G4066" t="n">
        <v>5.8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11079-2022</t>
        </is>
      </c>
      <c r="B4067" s="1" t="n">
        <v>44628</v>
      </c>
      <c r="C4067" s="1" t="n">
        <v>45192</v>
      </c>
      <c r="D4067" t="inlineStr">
        <is>
          <t>ÖSTERGÖTLANDS LÄN</t>
        </is>
      </c>
      <c r="E4067" t="inlineStr">
        <is>
          <t>LINKÖPING</t>
        </is>
      </c>
      <c r="G4067" t="n">
        <v>1.8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11041-2022</t>
        </is>
      </c>
      <c r="B4068" s="1" t="n">
        <v>44628</v>
      </c>
      <c r="C4068" s="1" t="n">
        <v>45192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7.1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11051-2022</t>
        </is>
      </c>
      <c r="B4069" s="1" t="n">
        <v>44628</v>
      </c>
      <c r="C4069" s="1" t="n">
        <v>45192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3.4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11084-2022</t>
        </is>
      </c>
      <c r="B4070" s="1" t="n">
        <v>44628</v>
      </c>
      <c r="C4070" s="1" t="n">
        <v>45192</v>
      </c>
      <c r="D4070" t="inlineStr">
        <is>
          <t>ÖSTERGÖTLANDS LÄN</t>
        </is>
      </c>
      <c r="E4070" t="inlineStr">
        <is>
          <t>LINKÖPING</t>
        </is>
      </c>
      <c r="G4070" t="n">
        <v>0.5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11222-2022</t>
        </is>
      </c>
      <c r="B4071" s="1" t="n">
        <v>44629</v>
      </c>
      <c r="C4071" s="1" t="n">
        <v>45192</v>
      </c>
      <c r="D4071" t="inlineStr">
        <is>
          <t>ÖSTERGÖTLANDS LÄN</t>
        </is>
      </c>
      <c r="E4071" t="inlineStr">
        <is>
          <t>ÅTVIDABERG</t>
        </is>
      </c>
      <c r="G4071" t="n">
        <v>1.1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11252-2022</t>
        </is>
      </c>
      <c r="B4072" s="1" t="n">
        <v>44629</v>
      </c>
      <c r="C4072" s="1" t="n">
        <v>45192</v>
      </c>
      <c r="D4072" t="inlineStr">
        <is>
          <t>ÖSTERGÖTLANDS LÄN</t>
        </is>
      </c>
      <c r="E4072" t="inlineStr">
        <is>
          <t>VALDEMARSVIK</t>
        </is>
      </c>
      <c r="G4072" t="n">
        <v>1.6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11268-2022</t>
        </is>
      </c>
      <c r="B4073" s="1" t="n">
        <v>44629</v>
      </c>
      <c r="C4073" s="1" t="n">
        <v>45192</v>
      </c>
      <c r="D4073" t="inlineStr">
        <is>
          <t>ÖSTERGÖTLANDS LÄN</t>
        </is>
      </c>
      <c r="E4073" t="inlineStr">
        <is>
          <t>NORRKÖPING</t>
        </is>
      </c>
      <c r="G4073" t="n">
        <v>4.2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11344-2022</t>
        </is>
      </c>
      <c r="B4074" s="1" t="n">
        <v>44630</v>
      </c>
      <c r="C4074" s="1" t="n">
        <v>45192</v>
      </c>
      <c r="D4074" t="inlineStr">
        <is>
          <t>ÖSTERGÖTLANDS LÄN</t>
        </is>
      </c>
      <c r="E4074" t="inlineStr">
        <is>
          <t>NORRKÖPING</t>
        </is>
      </c>
      <c r="G4074" t="n">
        <v>2.3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11404-2022</t>
        </is>
      </c>
      <c r="B4075" s="1" t="n">
        <v>44630</v>
      </c>
      <c r="C4075" s="1" t="n">
        <v>45192</v>
      </c>
      <c r="D4075" t="inlineStr">
        <is>
          <t>ÖSTERGÖTLANDS LÄN</t>
        </is>
      </c>
      <c r="E4075" t="inlineStr">
        <is>
          <t>NORRKÖPING</t>
        </is>
      </c>
      <c r="G4075" t="n">
        <v>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11505-2022</t>
        </is>
      </c>
      <c r="B4076" s="1" t="n">
        <v>44631</v>
      </c>
      <c r="C4076" s="1" t="n">
        <v>45192</v>
      </c>
      <c r="D4076" t="inlineStr">
        <is>
          <t>ÖSTERGÖTLANDS LÄN</t>
        </is>
      </c>
      <c r="E4076" t="inlineStr">
        <is>
          <t>ÅTVIDABERG</t>
        </is>
      </c>
      <c r="G4076" t="n">
        <v>0.9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11749-2022</t>
        </is>
      </c>
      <c r="B4077" s="1" t="n">
        <v>44634</v>
      </c>
      <c r="C4077" s="1" t="n">
        <v>45192</v>
      </c>
      <c r="D4077" t="inlineStr">
        <is>
          <t>ÖSTERGÖTLANDS LÄN</t>
        </is>
      </c>
      <c r="E4077" t="inlineStr">
        <is>
          <t>YDRE</t>
        </is>
      </c>
      <c r="G4077" t="n">
        <v>1.5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11902-2022</t>
        </is>
      </c>
      <c r="B4078" s="1" t="n">
        <v>44635</v>
      </c>
      <c r="C4078" s="1" t="n">
        <v>45192</v>
      </c>
      <c r="D4078" t="inlineStr">
        <is>
          <t>ÖSTERGÖTLANDS LÄN</t>
        </is>
      </c>
      <c r="E4078" t="inlineStr">
        <is>
          <t>YDRE</t>
        </is>
      </c>
      <c r="G4078" t="n">
        <v>1.6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12094-2022</t>
        </is>
      </c>
      <c r="B4079" s="1" t="n">
        <v>44636</v>
      </c>
      <c r="C4079" s="1" t="n">
        <v>45192</v>
      </c>
      <c r="D4079" t="inlineStr">
        <is>
          <t>ÖSTERGÖTLANDS LÄN</t>
        </is>
      </c>
      <c r="E4079" t="inlineStr">
        <is>
          <t>VALDEMARSVIK</t>
        </is>
      </c>
      <c r="G4079" t="n">
        <v>6.7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12216-2022</t>
        </is>
      </c>
      <c r="B4080" s="1" t="n">
        <v>44637</v>
      </c>
      <c r="C4080" s="1" t="n">
        <v>45192</v>
      </c>
      <c r="D4080" t="inlineStr">
        <is>
          <t>ÖSTERGÖTLANDS LÄN</t>
        </is>
      </c>
      <c r="E4080" t="inlineStr">
        <is>
          <t>FINSPÅNG</t>
        </is>
      </c>
      <c r="G4080" t="n">
        <v>4.1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12275-2022</t>
        </is>
      </c>
      <c r="B4081" s="1" t="n">
        <v>44637</v>
      </c>
      <c r="C4081" s="1" t="n">
        <v>45192</v>
      </c>
      <c r="D4081" t="inlineStr">
        <is>
          <t>ÖSTERGÖTLANDS LÄN</t>
        </is>
      </c>
      <c r="E4081" t="inlineStr">
        <is>
          <t>MOTALA</t>
        </is>
      </c>
      <c r="G4081" t="n">
        <v>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12274-2022</t>
        </is>
      </c>
      <c r="B4082" s="1" t="n">
        <v>44637</v>
      </c>
      <c r="C4082" s="1" t="n">
        <v>45192</v>
      </c>
      <c r="D4082" t="inlineStr">
        <is>
          <t>ÖSTERGÖTLANDS LÄN</t>
        </is>
      </c>
      <c r="E4082" t="inlineStr">
        <is>
          <t>MOTALA</t>
        </is>
      </c>
      <c r="G4082" t="n">
        <v>1.8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12413-2022</t>
        </is>
      </c>
      <c r="B4083" s="1" t="n">
        <v>44638</v>
      </c>
      <c r="C4083" s="1" t="n">
        <v>45192</v>
      </c>
      <c r="D4083" t="inlineStr">
        <is>
          <t>ÖSTERGÖTLANDS LÄN</t>
        </is>
      </c>
      <c r="E4083" t="inlineStr">
        <is>
          <t>LINKÖPING</t>
        </is>
      </c>
      <c r="G4083" t="n">
        <v>1.3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12412-2022</t>
        </is>
      </c>
      <c r="B4084" s="1" t="n">
        <v>44638</v>
      </c>
      <c r="C4084" s="1" t="n">
        <v>45192</v>
      </c>
      <c r="D4084" t="inlineStr">
        <is>
          <t>ÖSTERGÖTLANDS LÄN</t>
        </is>
      </c>
      <c r="E4084" t="inlineStr">
        <is>
          <t>LINKÖPING</t>
        </is>
      </c>
      <c r="G4084" t="n">
        <v>1.7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12720-2022</t>
        </is>
      </c>
      <c r="B4085" s="1" t="n">
        <v>44641</v>
      </c>
      <c r="C4085" s="1" t="n">
        <v>45192</v>
      </c>
      <c r="D4085" t="inlineStr">
        <is>
          <t>ÖSTERGÖTLANDS LÄN</t>
        </is>
      </c>
      <c r="E4085" t="inlineStr">
        <is>
          <t>LINKÖPING</t>
        </is>
      </c>
      <c r="F4085" t="inlineStr">
        <is>
          <t>Övriga Aktiebolag</t>
        </is>
      </c>
      <c r="G4085" t="n">
        <v>2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12643-2022</t>
        </is>
      </c>
      <c r="B4086" s="1" t="n">
        <v>44641</v>
      </c>
      <c r="C4086" s="1" t="n">
        <v>45192</v>
      </c>
      <c r="D4086" t="inlineStr">
        <is>
          <t>ÖSTERGÖTLANDS LÄN</t>
        </is>
      </c>
      <c r="E4086" t="inlineStr">
        <is>
          <t>MOTALA</t>
        </is>
      </c>
      <c r="G4086" t="n">
        <v>4.1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12655-2022</t>
        </is>
      </c>
      <c r="B4087" s="1" t="n">
        <v>44641</v>
      </c>
      <c r="C4087" s="1" t="n">
        <v>45192</v>
      </c>
      <c r="D4087" t="inlineStr">
        <is>
          <t>ÖSTERGÖTLANDS LÄN</t>
        </is>
      </c>
      <c r="E4087" t="inlineStr">
        <is>
          <t>ÅTVIDABERG</t>
        </is>
      </c>
      <c r="G4087" t="n">
        <v>1.6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12654-2022</t>
        </is>
      </c>
      <c r="B4088" s="1" t="n">
        <v>44641</v>
      </c>
      <c r="C4088" s="1" t="n">
        <v>45192</v>
      </c>
      <c r="D4088" t="inlineStr">
        <is>
          <t>ÖSTERGÖTLANDS LÄN</t>
        </is>
      </c>
      <c r="E4088" t="inlineStr">
        <is>
          <t>ÅTVIDABERG</t>
        </is>
      </c>
      <c r="G4088" t="n">
        <v>1.8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12898-2022</t>
        </is>
      </c>
      <c r="B4089" s="1" t="n">
        <v>44642</v>
      </c>
      <c r="C4089" s="1" t="n">
        <v>45192</v>
      </c>
      <c r="D4089" t="inlineStr">
        <is>
          <t>ÖSTERGÖTLANDS LÄN</t>
        </is>
      </c>
      <c r="E4089" t="inlineStr">
        <is>
          <t>FINSPÅNG</t>
        </is>
      </c>
      <c r="G4089" t="n">
        <v>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13075-2022</t>
        </is>
      </c>
      <c r="B4090" s="1" t="n">
        <v>44643</v>
      </c>
      <c r="C4090" s="1" t="n">
        <v>45192</v>
      </c>
      <c r="D4090" t="inlineStr">
        <is>
          <t>ÖSTERGÖTLANDS LÄN</t>
        </is>
      </c>
      <c r="E4090" t="inlineStr">
        <is>
          <t>LINKÖPING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13011-2022</t>
        </is>
      </c>
      <c r="B4091" s="1" t="n">
        <v>44643</v>
      </c>
      <c r="C4091" s="1" t="n">
        <v>45192</v>
      </c>
      <c r="D4091" t="inlineStr">
        <is>
          <t>ÖSTERGÖTLANDS LÄN</t>
        </is>
      </c>
      <c r="E4091" t="inlineStr">
        <is>
          <t>LINKÖPING</t>
        </is>
      </c>
      <c r="G4091" t="n">
        <v>3.7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13178-2022</t>
        </is>
      </c>
      <c r="B4092" s="1" t="n">
        <v>44644</v>
      </c>
      <c r="C4092" s="1" t="n">
        <v>45192</v>
      </c>
      <c r="D4092" t="inlineStr">
        <is>
          <t>ÖSTERGÖTLANDS LÄN</t>
        </is>
      </c>
      <c r="E4092" t="inlineStr">
        <is>
          <t>KINDA</t>
        </is>
      </c>
      <c r="G4092" t="n">
        <v>1.4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13267-2022</t>
        </is>
      </c>
      <c r="B4093" s="1" t="n">
        <v>44644</v>
      </c>
      <c r="C4093" s="1" t="n">
        <v>45192</v>
      </c>
      <c r="D4093" t="inlineStr">
        <is>
          <t>ÖSTERGÖTLANDS LÄN</t>
        </is>
      </c>
      <c r="E4093" t="inlineStr">
        <is>
          <t>FINSPÅNG</t>
        </is>
      </c>
      <c r="G4093" t="n">
        <v>0.5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13173-2022</t>
        </is>
      </c>
      <c r="B4094" s="1" t="n">
        <v>44644</v>
      </c>
      <c r="C4094" s="1" t="n">
        <v>45192</v>
      </c>
      <c r="D4094" t="inlineStr">
        <is>
          <t>ÖSTERGÖTLANDS LÄN</t>
        </is>
      </c>
      <c r="E4094" t="inlineStr">
        <is>
          <t>NORRKÖPING</t>
        </is>
      </c>
      <c r="F4094" t="inlineStr">
        <is>
          <t>Allmännings- och besparingsskogar</t>
        </is>
      </c>
      <c r="G4094" t="n">
        <v>2.1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13422-2022</t>
        </is>
      </c>
      <c r="B4095" s="1" t="n">
        <v>44645</v>
      </c>
      <c r="C4095" s="1" t="n">
        <v>45192</v>
      </c>
      <c r="D4095" t="inlineStr">
        <is>
          <t>ÖSTERGÖTLANDS LÄN</t>
        </is>
      </c>
      <c r="E4095" t="inlineStr">
        <is>
          <t>MOTALA</t>
        </is>
      </c>
      <c r="G4095" t="n">
        <v>2.2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13420-2022</t>
        </is>
      </c>
      <c r="B4096" s="1" t="n">
        <v>44645</v>
      </c>
      <c r="C4096" s="1" t="n">
        <v>45192</v>
      </c>
      <c r="D4096" t="inlineStr">
        <is>
          <t>ÖSTERGÖTLANDS LÄN</t>
        </is>
      </c>
      <c r="E4096" t="inlineStr">
        <is>
          <t>MOTALA</t>
        </is>
      </c>
      <c r="G4096" t="n">
        <v>0.7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13352-2022</t>
        </is>
      </c>
      <c r="B4097" s="1" t="n">
        <v>44645</v>
      </c>
      <c r="C4097" s="1" t="n">
        <v>45192</v>
      </c>
      <c r="D4097" t="inlineStr">
        <is>
          <t>ÖSTERGÖTLANDS LÄN</t>
        </is>
      </c>
      <c r="E4097" t="inlineStr">
        <is>
          <t>KINDA</t>
        </is>
      </c>
      <c r="G4097" t="n">
        <v>0.3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13550-2022</t>
        </is>
      </c>
      <c r="B4098" s="1" t="n">
        <v>44648</v>
      </c>
      <c r="C4098" s="1" t="n">
        <v>45192</v>
      </c>
      <c r="D4098" t="inlineStr">
        <is>
          <t>ÖSTERGÖTLANDS LÄN</t>
        </is>
      </c>
      <c r="E4098" t="inlineStr">
        <is>
          <t>MOTALA</t>
        </is>
      </c>
      <c r="G4098" t="n">
        <v>13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13814-2022</t>
        </is>
      </c>
      <c r="B4099" s="1" t="n">
        <v>44649</v>
      </c>
      <c r="C4099" s="1" t="n">
        <v>45192</v>
      </c>
      <c r="D4099" t="inlineStr">
        <is>
          <t>ÖSTERGÖTLANDS LÄN</t>
        </is>
      </c>
      <c r="E4099" t="inlineStr">
        <is>
          <t>NORRKÖPING</t>
        </is>
      </c>
      <c r="G4099" t="n">
        <v>6.8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13724-2022</t>
        </is>
      </c>
      <c r="B4100" s="1" t="n">
        <v>44649</v>
      </c>
      <c r="C4100" s="1" t="n">
        <v>45192</v>
      </c>
      <c r="D4100" t="inlineStr">
        <is>
          <t>ÖSTERGÖTLANDS LÄN</t>
        </is>
      </c>
      <c r="E4100" t="inlineStr">
        <is>
          <t>NORRKÖPING</t>
        </is>
      </c>
      <c r="F4100" t="inlineStr">
        <is>
          <t>Holmen skog AB</t>
        </is>
      </c>
      <c r="G4100" t="n">
        <v>3.3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13889-2022</t>
        </is>
      </c>
      <c r="B4101" s="1" t="n">
        <v>44650</v>
      </c>
      <c r="C4101" s="1" t="n">
        <v>45192</v>
      </c>
      <c r="D4101" t="inlineStr">
        <is>
          <t>ÖSTERGÖTLANDS LÄN</t>
        </is>
      </c>
      <c r="E4101" t="inlineStr">
        <is>
          <t>VALDEMARSVIK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13993-2022</t>
        </is>
      </c>
      <c r="B4102" s="1" t="n">
        <v>44650</v>
      </c>
      <c r="C4102" s="1" t="n">
        <v>45192</v>
      </c>
      <c r="D4102" t="inlineStr">
        <is>
          <t>ÖSTERGÖTLANDS LÄN</t>
        </is>
      </c>
      <c r="E4102" t="inlineStr">
        <is>
          <t>BOXHOLM</t>
        </is>
      </c>
      <c r="G4102" t="n">
        <v>2.5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13935-2022</t>
        </is>
      </c>
      <c r="B4103" s="1" t="n">
        <v>44650</v>
      </c>
      <c r="C4103" s="1" t="n">
        <v>45192</v>
      </c>
      <c r="D4103" t="inlineStr">
        <is>
          <t>ÖSTERGÖTLANDS LÄN</t>
        </is>
      </c>
      <c r="E4103" t="inlineStr">
        <is>
          <t>YDRE</t>
        </is>
      </c>
      <c r="G4103" t="n">
        <v>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14004-2022</t>
        </is>
      </c>
      <c r="B4104" s="1" t="n">
        <v>44650</v>
      </c>
      <c r="C4104" s="1" t="n">
        <v>45192</v>
      </c>
      <c r="D4104" t="inlineStr">
        <is>
          <t>ÖSTERGÖTLANDS LÄN</t>
        </is>
      </c>
      <c r="E4104" t="inlineStr">
        <is>
          <t>VALDEMARSVIK</t>
        </is>
      </c>
      <c r="G4104" t="n">
        <v>1.9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14101-2022</t>
        </is>
      </c>
      <c r="B4105" s="1" t="n">
        <v>44651</v>
      </c>
      <c r="C4105" s="1" t="n">
        <v>45192</v>
      </c>
      <c r="D4105" t="inlineStr">
        <is>
          <t>ÖSTERGÖTLANDS LÄN</t>
        </is>
      </c>
      <c r="E4105" t="inlineStr">
        <is>
          <t>YDRE</t>
        </is>
      </c>
      <c r="G4105" t="n">
        <v>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14184-2022</t>
        </is>
      </c>
      <c r="B4106" s="1" t="n">
        <v>44651</v>
      </c>
      <c r="C4106" s="1" t="n">
        <v>45192</v>
      </c>
      <c r="D4106" t="inlineStr">
        <is>
          <t>ÖSTERGÖTLANDS LÄN</t>
        </is>
      </c>
      <c r="E4106" t="inlineStr">
        <is>
          <t>YDRE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14389-2022</t>
        </is>
      </c>
      <c r="B4107" s="1" t="n">
        <v>44652</v>
      </c>
      <c r="C4107" s="1" t="n">
        <v>45192</v>
      </c>
      <c r="D4107" t="inlineStr">
        <is>
          <t>ÖSTERGÖTLANDS LÄN</t>
        </is>
      </c>
      <c r="E4107" t="inlineStr">
        <is>
          <t>LINKÖPING</t>
        </is>
      </c>
      <c r="G4107" t="n">
        <v>0.5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14645-2022</t>
        </is>
      </c>
      <c r="B4108" s="1" t="n">
        <v>44655</v>
      </c>
      <c r="C4108" s="1" t="n">
        <v>45192</v>
      </c>
      <c r="D4108" t="inlineStr">
        <is>
          <t>ÖSTERGÖTLANDS LÄN</t>
        </is>
      </c>
      <c r="E4108" t="inlineStr">
        <is>
          <t>YDRE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14520-2022</t>
        </is>
      </c>
      <c r="B4109" s="1" t="n">
        <v>44655</v>
      </c>
      <c r="C4109" s="1" t="n">
        <v>45192</v>
      </c>
      <c r="D4109" t="inlineStr">
        <is>
          <t>ÖSTERGÖTLANDS LÄN</t>
        </is>
      </c>
      <c r="E4109" t="inlineStr">
        <is>
          <t>MOTALA</t>
        </is>
      </c>
      <c r="G4109" t="n">
        <v>0.8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14518-2022</t>
        </is>
      </c>
      <c r="B4110" s="1" t="n">
        <v>44656</v>
      </c>
      <c r="C4110" s="1" t="n">
        <v>45192</v>
      </c>
      <c r="D4110" t="inlineStr">
        <is>
          <t>ÖSTERGÖTLANDS LÄN</t>
        </is>
      </c>
      <c r="E4110" t="inlineStr">
        <is>
          <t>VALDEMARSVIK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14770-2022</t>
        </is>
      </c>
      <c r="B4111" s="1" t="n">
        <v>44656</v>
      </c>
      <c r="C4111" s="1" t="n">
        <v>45192</v>
      </c>
      <c r="D4111" t="inlineStr">
        <is>
          <t>ÖSTERGÖTLANDS LÄN</t>
        </is>
      </c>
      <c r="E4111" t="inlineStr">
        <is>
          <t>ÅTVIDABERG</t>
        </is>
      </c>
      <c r="G4111" t="n">
        <v>3.4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14866-2022</t>
        </is>
      </c>
      <c r="B4112" s="1" t="n">
        <v>44656</v>
      </c>
      <c r="C4112" s="1" t="n">
        <v>45192</v>
      </c>
      <c r="D4112" t="inlineStr">
        <is>
          <t>ÖSTERGÖTLANDS LÄN</t>
        </is>
      </c>
      <c r="E4112" t="inlineStr">
        <is>
          <t>FINSPÅNG</t>
        </is>
      </c>
      <c r="F4112" t="inlineStr">
        <is>
          <t>Holmen skog AB</t>
        </is>
      </c>
      <c r="G4112" t="n">
        <v>0.8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14774-2022</t>
        </is>
      </c>
      <c r="B4113" s="1" t="n">
        <v>44656</v>
      </c>
      <c r="C4113" s="1" t="n">
        <v>45192</v>
      </c>
      <c r="D4113" t="inlineStr">
        <is>
          <t>ÖSTERGÖTLANDS LÄN</t>
        </is>
      </c>
      <c r="E4113" t="inlineStr">
        <is>
          <t>ÅTVIDABERG</t>
        </is>
      </c>
      <c r="G4113" t="n">
        <v>4.3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15110-2022</t>
        </is>
      </c>
      <c r="B4114" s="1" t="n">
        <v>44657</v>
      </c>
      <c r="C4114" s="1" t="n">
        <v>45192</v>
      </c>
      <c r="D4114" t="inlineStr">
        <is>
          <t>ÖSTERGÖTLANDS LÄN</t>
        </is>
      </c>
      <c r="E4114" t="inlineStr">
        <is>
          <t>KINDA</t>
        </is>
      </c>
      <c r="G4114" t="n">
        <v>1.1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15115-2022</t>
        </is>
      </c>
      <c r="B4115" s="1" t="n">
        <v>44658</v>
      </c>
      <c r="C4115" s="1" t="n">
        <v>45192</v>
      </c>
      <c r="D4115" t="inlineStr">
        <is>
          <t>ÖSTERGÖTLANDS LÄN</t>
        </is>
      </c>
      <c r="E4115" t="inlineStr">
        <is>
          <t>VALDEMARSVIK</t>
        </is>
      </c>
      <c r="G4115" t="n">
        <v>2.2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15117-2022</t>
        </is>
      </c>
      <c r="B4116" s="1" t="n">
        <v>44658</v>
      </c>
      <c r="C4116" s="1" t="n">
        <v>45192</v>
      </c>
      <c r="D4116" t="inlineStr">
        <is>
          <t>ÖSTERGÖTLANDS LÄN</t>
        </is>
      </c>
      <c r="E4116" t="inlineStr">
        <is>
          <t>LINKÖPING</t>
        </is>
      </c>
      <c r="G4116" t="n">
        <v>3.2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15113-2022</t>
        </is>
      </c>
      <c r="B4117" s="1" t="n">
        <v>44658</v>
      </c>
      <c r="C4117" s="1" t="n">
        <v>45192</v>
      </c>
      <c r="D4117" t="inlineStr">
        <is>
          <t>ÖSTERGÖTLANDS LÄN</t>
        </is>
      </c>
      <c r="E4117" t="inlineStr">
        <is>
          <t>VALDEMARSVIK</t>
        </is>
      </c>
      <c r="G4117" t="n">
        <v>1.4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15121-2022</t>
        </is>
      </c>
      <c r="B4118" s="1" t="n">
        <v>44658</v>
      </c>
      <c r="C4118" s="1" t="n">
        <v>45192</v>
      </c>
      <c r="D4118" t="inlineStr">
        <is>
          <t>ÖSTERGÖTLANDS LÄN</t>
        </is>
      </c>
      <c r="E4118" t="inlineStr">
        <is>
          <t>LINKÖPING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15264-2022</t>
        </is>
      </c>
      <c r="B4119" s="1" t="n">
        <v>44659</v>
      </c>
      <c r="C4119" s="1" t="n">
        <v>45192</v>
      </c>
      <c r="D4119" t="inlineStr">
        <is>
          <t>ÖSTERGÖTLANDS LÄN</t>
        </is>
      </c>
      <c r="E4119" t="inlineStr">
        <is>
          <t>ÅTVIDABERG</t>
        </is>
      </c>
      <c r="G4119" t="n">
        <v>1.1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15276-2022</t>
        </is>
      </c>
      <c r="B4120" s="1" t="n">
        <v>44659</v>
      </c>
      <c r="C4120" s="1" t="n">
        <v>45192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7.6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15284-2022</t>
        </is>
      </c>
      <c r="B4121" s="1" t="n">
        <v>44659</v>
      </c>
      <c r="C4121" s="1" t="n">
        <v>45192</v>
      </c>
      <c r="D4121" t="inlineStr">
        <is>
          <t>ÖSTERGÖTLANDS LÄN</t>
        </is>
      </c>
      <c r="E4121" t="inlineStr">
        <is>
          <t>MJÖLBY</t>
        </is>
      </c>
      <c r="F4121" t="inlineStr">
        <is>
          <t>Kyrkan</t>
        </is>
      </c>
      <c r="G4121" t="n">
        <v>0.9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15473-2022</t>
        </is>
      </c>
      <c r="B4122" s="1" t="n">
        <v>44662</v>
      </c>
      <c r="C4122" s="1" t="n">
        <v>45192</v>
      </c>
      <c r="D4122" t="inlineStr">
        <is>
          <t>ÖSTERGÖTLANDS LÄN</t>
        </is>
      </c>
      <c r="E4122" t="inlineStr">
        <is>
          <t>FINSPÅNG</t>
        </is>
      </c>
      <c r="F4122" t="inlineStr">
        <is>
          <t>Holmen skog AB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15813-2022</t>
        </is>
      </c>
      <c r="B4123" s="1" t="n">
        <v>44664</v>
      </c>
      <c r="C4123" s="1" t="n">
        <v>45192</v>
      </c>
      <c r="D4123" t="inlineStr">
        <is>
          <t>ÖSTERGÖTLANDS LÄN</t>
        </is>
      </c>
      <c r="E4123" t="inlineStr">
        <is>
          <t>ÖDESHÖG</t>
        </is>
      </c>
      <c r="F4123" t="inlineStr">
        <is>
          <t>Sveaskog</t>
        </is>
      </c>
      <c r="G4123" t="n">
        <v>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15824-2022</t>
        </is>
      </c>
      <c r="B4124" s="1" t="n">
        <v>44664</v>
      </c>
      <c r="C4124" s="1" t="n">
        <v>45192</v>
      </c>
      <c r="D4124" t="inlineStr">
        <is>
          <t>ÖSTERGÖTLANDS LÄN</t>
        </is>
      </c>
      <c r="E4124" t="inlineStr">
        <is>
          <t>FINSPÅNG</t>
        </is>
      </c>
      <c r="F4124" t="inlineStr">
        <is>
          <t>Holmen skog AB</t>
        </is>
      </c>
      <c r="G4124" t="n">
        <v>4.8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16055-2022</t>
        </is>
      </c>
      <c r="B4125" s="1" t="n">
        <v>44665</v>
      </c>
      <c r="C4125" s="1" t="n">
        <v>45192</v>
      </c>
      <c r="D4125" t="inlineStr">
        <is>
          <t>ÖSTERGÖTLANDS LÄN</t>
        </is>
      </c>
      <c r="E4125" t="inlineStr">
        <is>
          <t>NORRKÖPING</t>
        </is>
      </c>
      <c r="G4125" t="n">
        <v>3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16074-2022</t>
        </is>
      </c>
      <c r="B4126" s="1" t="n">
        <v>44665</v>
      </c>
      <c r="C4126" s="1" t="n">
        <v>45192</v>
      </c>
      <c r="D4126" t="inlineStr">
        <is>
          <t>ÖSTERGÖTLANDS LÄN</t>
        </is>
      </c>
      <c r="E4126" t="inlineStr">
        <is>
          <t>NORRKÖPING</t>
        </is>
      </c>
      <c r="G4126" t="n">
        <v>2.5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16110-2022</t>
        </is>
      </c>
      <c r="B4127" s="1" t="n">
        <v>44665</v>
      </c>
      <c r="C4127" s="1" t="n">
        <v>45192</v>
      </c>
      <c r="D4127" t="inlineStr">
        <is>
          <t>ÖSTERGÖTLANDS LÄN</t>
        </is>
      </c>
      <c r="E4127" t="inlineStr">
        <is>
          <t>ÅTVIDABERG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16111-2022</t>
        </is>
      </c>
      <c r="B4128" s="1" t="n">
        <v>44665</v>
      </c>
      <c r="C4128" s="1" t="n">
        <v>45192</v>
      </c>
      <c r="D4128" t="inlineStr">
        <is>
          <t>ÖSTERGÖTLANDS LÄN</t>
        </is>
      </c>
      <c r="E4128" t="inlineStr">
        <is>
          <t>LINKÖPING</t>
        </is>
      </c>
      <c r="F4128" t="inlineStr">
        <is>
          <t>Övriga Aktiebolag</t>
        </is>
      </c>
      <c r="G4128" t="n">
        <v>2.9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16106-2022</t>
        </is>
      </c>
      <c r="B4129" s="1" t="n">
        <v>44665</v>
      </c>
      <c r="C4129" s="1" t="n">
        <v>45192</v>
      </c>
      <c r="D4129" t="inlineStr">
        <is>
          <t>ÖSTERGÖTLANDS LÄN</t>
        </is>
      </c>
      <c r="E4129" t="inlineStr">
        <is>
          <t>FINSPÅNG</t>
        </is>
      </c>
      <c r="F4129" t="inlineStr">
        <is>
          <t>Övriga Aktiebolag</t>
        </is>
      </c>
      <c r="G4129" t="n">
        <v>5.6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16289-2022</t>
        </is>
      </c>
      <c r="B4130" s="1" t="n">
        <v>44670</v>
      </c>
      <c r="C4130" s="1" t="n">
        <v>45192</v>
      </c>
      <c r="D4130" t="inlineStr">
        <is>
          <t>ÖSTERGÖTLANDS LÄN</t>
        </is>
      </c>
      <c r="E4130" t="inlineStr">
        <is>
          <t>YDRE</t>
        </is>
      </c>
      <c r="G4130" t="n">
        <v>3.2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16417-2022</t>
        </is>
      </c>
      <c r="B4131" s="1" t="n">
        <v>44671</v>
      </c>
      <c r="C4131" s="1" t="n">
        <v>45192</v>
      </c>
      <c r="D4131" t="inlineStr">
        <is>
          <t>ÖSTERGÖTLANDS LÄN</t>
        </is>
      </c>
      <c r="E4131" t="inlineStr">
        <is>
          <t>NORRKÖPING</t>
        </is>
      </c>
      <c r="G4131" t="n">
        <v>1.3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16635-2022</t>
        </is>
      </c>
      <c r="B4132" s="1" t="n">
        <v>44672</v>
      </c>
      <c r="C4132" s="1" t="n">
        <v>45192</v>
      </c>
      <c r="D4132" t="inlineStr">
        <is>
          <t>ÖSTERGÖTLANDS LÄN</t>
        </is>
      </c>
      <c r="E4132" t="inlineStr">
        <is>
          <t>BOXHOLM</t>
        </is>
      </c>
      <c r="G4132" t="n">
        <v>2.9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16555-2022</t>
        </is>
      </c>
      <c r="B4133" s="1" t="n">
        <v>44672</v>
      </c>
      <c r="C4133" s="1" t="n">
        <v>45192</v>
      </c>
      <c r="D4133" t="inlineStr">
        <is>
          <t>ÖSTERGÖTLANDS LÄN</t>
        </is>
      </c>
      <c r="E4133" t="inlineStr">
        <is>
          <t>SÖDERKÖPING</t>
        </is>
      </c>
      <c r="G4133" t="n">
        <v>1.7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16829-2022</t>
        </is>
      </c>
      <c r="B4134" s="1" t="n">
        <v>44673</v>
      </c>
      <c r="C4134" s="1" t="n">
        <v>45192</v>
      </c>
      <c r="D4134" t="inlineStr">
        <is>
          <t>ÖSTERGÖTLANDS LÄN</t>
        </is>
      </c>
      <c r="E4134" t="inlineStr">
        <is>
          <t>NORRKÖPING</t>
        </is>
      </c>
      <c r="F4134" t="inlineStr">
        <is>
          <t>Allmännings- och besparingsskogar</t>
        </is>
      </c>
      <c r="G4134" t="n">
        <v>0.9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16869-2022</t>
        </is>
      </c>
      <c r="B4135" s="1" t="n">
        <v>44675</v>
      </c>
      <c r="C4135" s="1" t="n">
        <v>45192</v>
      </c>
      <c r="D4135" t="inlineStr">
        <is>
          <t>ÖSTERGÖTLANDS LÄN</t>
        </is>
      </c>
      <c r="E4135" t="inlineStr">
        <is>
          <t>FINSPÅNG</t>
        </is>
      </c>
      <c r="G4135" t="n">
        <v>1.9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16872-2022</t>
        </is>
      </c>
      <c r="B4136" s="1" t="n">
        <v>44675</v>
      </c>
      <c r="C4136" s="1" t="n">
        <v>45192</v>
      </c>
      <c r="D4136" t="inlineStr">
        <is>
          <t>ÖSTERGÖTLANDS LÄN</t>
        </is>
      </c>
      <c r="E4136" t="inlineStr">
        <is>
          <t>FINSPÅNG</t>
        </is>
      </c>
      <c r="G4136" t="n">
        <v>0.6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16868-2022</t>
        </is>
      </c>
      <c r="B4137" s="1" t="n">
        <v>44675</v>
      </c>
      <c r="C4137" s="1" t="n">
        <v>45192</v>
      </c>
      <c r="D4137" t="inlineStr">
        <is>
          <t>ÖSTERGÖTLANDS LÄN</t>
        </is>
      </c>
      <c r="E4137" t="inlineStr">
        <is>
          <t>FINSPÅNG</t>
        </is>
      </c>
      <c r="G4137" t="n">
        <v>0.8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16901-2022</t>
        </is>
      </c>
      <c r="B4138" s="1" t="n">
        <v>44676</v>
      </c>
      <c r="C4138" s="1" t="n">
        <v>45192</v>
      </c>
      <c r="D4138" t="inlineStr">
        <is>
          <t>ÖSTERGÖTLANDS LÄN</t>
        </is>
      </c>
      <c r="E4138" t="inlineStr">
        <is>
          <t>FINSPÅNG</t>
        </is>
      </c>
      <c r="F4138" t="inlineStr">
        <is>
          <t>Sveaskog</t>
        </is>
      </c>
      <c r="G4138" t="n">
        <v>1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17008-2022</t>
        </is>
      </c>
      <c r="B4139" s="1" t="n">
        <v>44676</v>
      </c>
      <c r="C4139" s="1" t="n">
        <v>45192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17071-2022</t>
        </is>
      </c>
      <c r="B4140" s="1" t="n">
        <v>44677</v>
      </c>
      <c r="C4140" s="1" t="n">
        <v>45192</v>
      </c>
      <c r="D4140" t="inlineStr">
        <is>
          <t>ÖSTERGÖTLANDS LÄN</t>
        </is>
      </c>
      <c r="E4140" t="inlineStr">
        <is>
          <t>MOTALA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17138-2022</t>
        </is>
      </c>
      <c r="B4141" s="1" t="n">
        <v>44677</v>
      </c>
      <c r="C4141" s="1" t="n">
        <v>45192</v>
      </c>
      <c r="D4141" t="inlineStr">
        <is>
          <t>ÖSTERGÖTLANDS LÄN</t>
        </is>
      </c>
      <c r="E4141" t="inlineStr">
        <is>
          <t>NORRKÖPING</t>
        </is>
      </c>
      <c r="G4141" t="n">
        <v>0.9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17104-2022</t>
        </is>
      </c>
      <c r="B4142" s="1" t="n">
        <v>44677</v>
      </c>
      <c r="C4142" s="1" t="n">
        <v>45192</v>
      </c>
      <c r="D4142" t="inlineStr">
        <is>
          <t>ÖSTERGÖTLANDS LÄN</t>
        </is>
      </c>
      <c r="E4142" t="inlineStr">
        <is>
          <t>FINSPÅNG</t>
        </is>
      </c>
      <c r="G4142" t="n">
        <v>4.2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17174-2022</t>
        </is>
      </c>
      <c r="B4143" s="1" t="n">
        <v>44677</v>
      </c>
      <c r="C4143" s="1" t="n">
        <v>45192</v>
      </c>
      <c r="D4143" t="inlineStr">
        <is>
          <t>ÖSTERGÖTLANDS LÄN</t>
        </is>
      </c>
      <c r="E4143" t="inlineStr">
        <is>
          <t>KINDA</t>
        </is>
      </c>
      <c r="G4143" t="n">
        <v>1.8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17172-2022</t>
        </is>
      </c>
      <c r="B4144" s="1" t="n">
        <v>44677</v>
      </c>
      <c r="C4144" s="1" t="n">
        <v>45192</v>
      </c>
      <c r="D4144" t="inlineStr">
        <is>
          <t>ÖSTERGÖTLANDS LÄN</t>
        </is>
      </c>
      <c r="E4144" t="inlineStr">
        <is>
          <t>KINDA</t>
        </is>
      </c>
      <c r="G4144" t="n">
        <v>2.9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17275-2022</t>
        </is>
      </c>
      <c r="B4145" s="1" t="n">
        <v>44678</v>
      </c>
      <c r="C4145" s="1" t="n">
        <v>45192</v>
      </c>
      <c r="D4145" t="inlineStr">
        <is>
          <t>ÖSTERGÖTLANDS LÄN</t>
        </is>
      </c>
      <c r="E4145" t="inlineStr">
        <is>
          <t>SÖDERKÖPING</t>
        </is>
      </c>
      <c r="G4145" t="n">
        <v>3.6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17321-2022</t>
        </is>
      </c>
      <c r="B4146" s="1" t="n">
        <v>44678</v>
      </c>
      <c r="C4146" s="1" t="n">
        <v>45192</v>
      </c>
      <c r="D4146" t="inlineStr">
        <is>
          <t>ÖSTERGÖTLANDS LÄN</t>
        </is>
      </c>
      <c r="E4146" t="inlineStr">
        <is>
          <t>FINSPÅNG</t>
        </is>
      </c>
      <c r="F4146" t="inlineStr">
        <is>
          <t>Holmen skog AB</t>
        </is>
      </c>
      <c r="G4146" t="n">
        <v>0.9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17413-2022</t>
        </is>
      </c>
      <c r="B4147" s="1" t="n">
        <v>44678</v>
      </c>
      <c r="C4147" s="1" t="n">
        <v>45192</v>
      </c>
      <c r="D4147" t="inlineStr">
        <is>
          <t>ÖSTERGÖTLANDS LÄN</t>
        </is>
      </c>
      <c r="E4147" t="inlineStr">
        <is>
          <t>FINSPÅNG</t>
        </is>
      </c>
      <c r="G4147" t="n">
        <v>3.2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17497-2022</t>
        </is>
      </c>
      <c r="B4148" s="1" t="n">
        <v>44679</v>
      </c>
      <c r="C4148" s="1" t="n">
        <v>45192</v>
      </c>
      <c r="D4148" t="inlineStr">
        <is>
          <t>ÖSTERGÖTLANDS LÄN</t>
        </is>
      </c>
      <c r="E4148" t="inlineStr">
        <is>
          <t>LINKÖPING</t>
        </is>
      </c>
      <c r="F4148" t="inlineStr">
        <is>
          <t>Kommuner</t>
        </is>
      </c>
      <c r="G4148" t="n">
        <v>1.4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17503-2022</t>
        </is>
      </c>
      <c r="B4149" s="1" t="n">
        <v>44679</v>
      </c>
      <c r="C4149" s="1" t="n">
        <v>45192</v>
      </c>
      <c r="D4149" t="inlineStr">
        <is>
          <t>ÖSTERGÖTLANDS LÄN</t>
        </is>
      </c>
      <c r="E4149" t="inlineStr">
        <is>
          <t>NORRKÖPING</t>
        </is>
      </c>
      <c r="F4149" t="inlineStr">
        <is>
          <t>Allmännings- och besparingsskogar</t>
        </is>
      </c>
      <c r="G4149" t="n">
        <v>6.3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17500-2022</t>
        </is>
      </c>
      <c r="B4150" s="1" t="n">
        <v>44679</v>
      </c>
      <c r="C4150" s="1" t="n">
        <v>45192</v>
      </c>
      <c r="D4150" t="inlineStr">
        <is>
          <t>ÖSTERGÖTLANDS LÄN</t>
        </is>
      </c>
      <c r="E4150" t="inlineStr">
        <is>
          <t>LINKÖPING</t>
        </is>
      </c>
      <c r="F4150" t="inlineStr">
        <is>
          <t>Kommuner</t>
        </is>
      </c>
      <c r="G4150" t="n">
        <v>1.8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17557-2022</t>
        </is>
      </c>
      <c r="B4151" s="1" t="n">
        <v>44679</v>
      </c>
      <c r="C4151" s="1" t="n">
        <v>45192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Övriga Aktiebolag</t>
        </is>
      </c>
      <c r="G4151" t="n">
        <v>0.8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17708-2022</t>
        </is>
      </c>
      <c r="B4152" s="1" t="n">
        <v>44680</v>
      </c>
      <c r="C4152" s="1" t="n">
        <v>45192</v>
      </c>
      <c r="D4152" t="inlineStr">
        <is>
          <t>ÖSTERGÖTLANDS LÄN</t>
        </is>
      </c>
      <c r="E4152" t="inlineStr">
        <is>
          <t>FINSPÅNG</t>
        </is>
      </c>
      <c r="F4152" t="inlineStr">
        <is>
          <t>Kyrkan</t>
        </is>
      </c>
      <c r="G4152" t="n">
        <v>2.6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18251-2022</t>
        </is>
      </c>
      <c r="B4153" s="1" t="n">
        <v>44685</v>
      </c>
      <c r="C4153" s="1" t="n">
        <v>45192</v>
      </c>
      <c r="D4153" t="inlineStr">
        <is>
          <t>ÖSTERGÖTLANDS LÄN</t>
        </is>
      </c>
      <c r="E4153" t="inlineStr">
        <is>
          <t>SÖDERKÖPING</t>
        </is>
      </c>
      <c r="G4153" t="n">
        <v>0.4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18454-2022</t>
        </is>
      </c>
      <c r="B4154" s="1" t="n">
        <v>44686</v>
      </c>
      <c r="C4154" s="1" t="n">
        <v>45192</v>
      </c>
      <c r="D4154" t="inlineStr">
        <is>
          <t>ÖSTERGÖTLANDS LÄN</t>
        </is>
      </c>
      <c r="E4154" t="inlineStr">
        <is>
          <t>NORRKÖPING</t>
        </is>
      </c>
      <c r="G4154" t="n">
        <v>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18633-2022</t>
        </is>
      </c>
      <c r="B4155" s="1" t="n">
        <v>44687</v>
      </c>
      <c r="C4155" s="1" t="n">
        <v>45192</v>
      </c>
      <c r="D4155" t="inlineStr">
        <is>
          <t>ÖSTERGÖTLANDS LÄN</t>
        </is>
      </c>
      <c r="E4155" t="inlineStr">
        <is>
          <t>VADSTENA</t>
        </is>
      </c>
      <c r="G4155" t="n">
        <v>1.6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18597-2022</t>
        </is>
      </c>
      <c r="B4156" s="1" t="n">
        <v>44687</v>
      </c>
      <c r="C4156" s="1" t="n">
        <v>45192</v>
      </c>
      <c r="D4156" t="inlineStr">
        <is>
          <t>ÖSTERGÖTLANDS LÄN</t>
        </is>
      </c>
      <c r="E4156" t="inlineStr">
        <is>
          <t>KINDA</t>
        </is>
      </c>
      <c r="G4156" t="n">
        <v>1.1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18684-2022</t>
        </is>
      </c>
      <c r="B4157" s="1" t="n">
        <v>44687</v>
      </c>
      <c r="C4157" s="1" t="n">
        <v>45192</v>
      </c>
      <c r="D4157" t="inlineStr">
        <is>
          <t>ÖSTERGÖTLANDS LÄN</t>
        </is>
      </c>
      <c r="E4157" t="inlineStr">
        <is>
          <t>VALDEMARSVIK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18935-2022</t>
        </is>
      </c>
      <c r="B4158" s="1" t="n">
        <v>44690</v>
      </c>
      <c r="C4158" s="1" t="n">
        <v>45192</v>
      </c>
      <c r="D4158" t="inlineStr">
        <is>
          <t>ÖSTERGÖTLANDS LÄN</t>
        </is>
      </c>
      <c r="E4158" t="inlineStr">
        <is>
          <t>FINSPÅNG</t>
        </is>
      </c>
      <c r="F4158" t="inlineStr">
        <is>
          <t>Holmen skog AB</t>
        </is>
      </c>
      <c r="G4158" t="n">
        <v>1.5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18961-2022</t>
        </is>
      </c>
      <c r="B4159" s="1" t="n">
        <v>44690</v>
      </c>
      <c r="C4159" s="1" t="n">
        <v>45192</v>
      </c>
      <c r="D4159" t="inlineStr">
        <is>
          <t>ÖSTERGÖTLANDS LÄN</t>
        </is>
      </c>
      <c r="E4159" t="inlineStr">
        <is>
          <t>VALDEMARSVIK</t>
        </is>
      </c>
      <c r="G4159" t="n">
        <v>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18891-2022</t>
        </is>
      </c>
      <c r="B4160" s="1" t="n">
        <v>44690</v>
      </c>
      <c r="C4160" s="1" t="n">
        <v>45192</v>
      </c>
      <c r="D4160" t="inlineStr">
        <is>
          <t>ÖSTERGÖTLANDS LÄN</t>
        </is>
      </c>
      <c r="E4160" t="inlineStr">
        <is>
          <t>LINKÖPING</t>
        </is>
      </c>
      <c r="G4160" t="n">
        <v>1.2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19356-2022</t>
        </is>
      </c>
      <c r="B4161" s="1" t="n">
        <v>44692</v>
      </c>
      <c r="C4161" s="1" t="n">
        <v>45192</v>
      </c>
      <c r="D4161" t="inlineStr">
        <is>
          <t>ÖSTERGÖTLANDS LÄN</t>
        </is>
      </c>
      <c r="E4161" t="inlineStr">
        <is>
          <t>BOXHOLM</t>
        </is>
      </c>
      <c r="G4161" t="n">
        <v>2.5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19229-2022</t>
        </is>
      </c>
      <c r="B4162" s="1" t="n">
        <v>44692</v>
      </c>
      <c r="C4162" s="1" t="n">
        <v>45192</v>
      </c>
      <c r="D4162" t="inlineStr">
        <is>
          <t>ÖSTERGÖTLANDS LÄN</t>
        </is>
      </c>
      <c r="E4162" t="inlineStr">
        <is>
          <t>MOTALA</t>
        </is>
      </c>
      <c r="F4162" t="inlineStr">
        <is>
          <t>Övriga statliga verk och myndigheter</t>
        </is>
      </c>
      <c r="G4162" t="n">
        <v>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19338-2022</t>
        </is>
      </c>
      <c r="B4163" s="1" t="n">
        <v>44692</v>
      </c>
      <c r="C4163" s="1" t="n">
        <v>45192</v>
      </c>
      <c r="D4163" t="inlineStr">
        <is>
          <t>ÖSTERGÖTLANDS LÄN</t>
        </is>
      </c>
      <c r="E4163" t="inlineStr">
        <is>
          <t>SÖDERKÖPING</t>
        </is>
      </c>
      <c r="F4163" t="inlineStr">
        <is>
          <t>Kommuner</t>
        </is>
      </c>
      <c r="G4163" t="n">
        <v>2.8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19610-2022</t>
        </is>
      </c>
      <c r="B4164" s="1" t="n">
        <v>44693</v>
      </c>
      <c r="C4164" s="1" t="n">
        <v>45192</v>
      </c>
      <c r="D4164" t="inlineStr">
        <is>
          <t>ÖSTERGÖTLANDS LÄN</t>
        </is>
      </c>
      <c r="E4164" t="inlineStr">
        <is>
          <t>YDRE</t>
        </is>
      </c>
      <c r="G4164" t="n">
        <v>2.4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19566-2022</t>
        </is>
      </c>
      <c r="B4165" s="1" t="n">
        <v>44693</v>
      </c>
      <c r="C4165" s="1" t="n">
        <v>45192</v>
      </c>
      <c r="D4165" t="inlineStr">
        <is>
          <t>ÖSTERGÖTLANDS LÄN</t>
        </is>
      </c>
      <c r="E4165" t="inlineStr">
        <is>
          <t>BOXHOLM</t>
        </is>
      </c>
      <c r="G4165" t="n">
        <v>2.2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19839-2022</t>
        </is>
      </c>
      <c r="B4166" s="1" t="n">
        <v>44696</v>
      </c>
      <c r="C4166" s="1" t="n">
        <v>45192</v>
      </c>
      <c r="D4166" t="inlineStr">
        <is>
          <t>ÖSTERGÖTLANDS LÄN</t>
        </is>
      </c>
      <c r="E4166" t="inlineStr">
        <is>
          <t>NORRKÖPING</t>
        </is>
      </c>
      <c r="G4166" t="n">
        <v>3.7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20027-2022</t>
        </is>
      </c>
      <c r="B4167" s="1" t="n">
        <v>44697</v>
      </c>
      <c r="C4167" s="1" t="n">
        <v>45192</v>
      </c>
      <c r="D4167" t="inlineStr">
        <is>
          <t>ÖSTERGÖTLANDS LÄN</t>
        </is>
      </c>
      <c r="E4167" t="inlineStr">
        <is>
          <t>LINKÖPING</t>
        </is>
      </c>
      <c r="G4167" t="n">
        <v>12.3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19922-2022</t>
        </is>
      </c>
      <c r="B4168" s="1" t="n">
        <v>44697</v>
      </c>
      <c r="C4168" s="1" t="n">
        <v>45192</v>
      </c>
      <c r="D4168" t="inlineStr">
        <is>
          <t>ÖSTERGÖTLANDS LÄN</t>
        </is>
      </c>
      <c r="E4168" t="inlineStr">
        <is>
          <t>FINSPÅNG</t>
        </is>
      </c>
      <c r="F4168" t="inlineStr">
        <is>
          <t>Sveaskog</t>
        </is>
      </c>
      <c r="G4168" t="n">
        <v>2.1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19897-2022</t>
        </is>
      </c>
      <c r="B4169" s="1" t="n">
        <v>44697</v>
      </c>
      <c r="C4169" s="1" t="n">
        <v>45192</v>
      </c>
      <c r="D4169" t="inlineStr">
        <is>
          <t>ÖSTERGÖTLANDS LÄN</t>
        </is>
      </c>
      <c r="E4169" t="inlineStr">
        <is>
          <t>KINDA</t>
        </is>
      </c>
      <c r="G4169" t="n">
        <v>0.9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20232-2022</t>
        </is>
      </c>
      <c r="B4170" s="1" t="n">
        <v>44698</v>
      </c>
      <c r="C4170" s="1" t="n">
        <v>45192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20262-2022</t>
        </is>
      </c>
      <c r="B4171" s="1" t="n">
        <v>44698</v>
      </c>
      <c r="C4171" s="1" t="n">
        <v>45192</v>
      </c>
      <c r="D4171" t="inlineStr">
        <is>
          <t>ÖSTERGÖTLANDS LÄN</t>
        </is>
      </c>
      <c r="E4171" t="inlineStr">
        <is>
          <t>ÖDESHÖG</t>
        </is>
      </c>
      <c r="F4171" t="inlineStr">
        <is>
          <t>Allmännings- och besparingsskogar</t>
        </is>
      </c>
      <c r="G4171" t="n">
        <v>10.3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20158-2022</t>
        </is>
      </c>
      <c r="B4172" s="1" t="n">
        <v>44698</v>
      </c>
      <c r="C4172" s="1" t="n">
        <v>45192</v>
      </c>
      <c r="D4172" t="inlineStr">
        <is>
          <t>ÖSTERGÖTLANDS LÄN</t>
        </is>
      </c>
      <c r="E4172" t="inlineStr">
        <is>
          <t>YDRE</t>
        </is>
      </c>
      <c r="G4172" t="n">
        <v>0.9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20385-2022</t>
        </is>
      </c>
      <c r="B4173" s="1" t="n">
        <v>44699</v>
      </c>
      <c r="C4173" s="1" t="n">
        <v>45192</v>
      </c>
      <c r="D4173" t="inlineStr">
        <is>
          <t>ÖSTERGÖTLANDS LÄN</t>
        </is>
      </c>
      <c r="E4173" t="inlineStr">
        <is>
          <t>NORRKÖPING</t>
        </is>
      </c>
      <c r="G4173" t="n">
        <v>1.9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20447-2022</t>
        </is>
      </c>
      <c r="B4174" s="1" t="n">
        <v>44699</v>
      </c>
      <c r="C4174" s="1" t="n">
        <v>45192</v>
      </c>
      <c r="D4174" t="inlineStr">
        <is>
          <t>ÖSTERGÖTLANDS LÄN</t>
        </is>
      </c>
      <c r="E4174" t="inlineStr">
        <is>
          <t>KINDA</t>
        </is>
      </c>
      <c r="G4174" t="n">
        <v>1.7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20829-2022</t>
        </is>
      </c>
      <c r="B4175" s="1" t="n">
        <v>44701</v>
      </c>
      <c r="C4175" s="1" t="n">
        <v>45192</v>
      </c>
      <c r="D4175" t="inlineStr">
        <is>
          <t>ÖSTERGÖTLANDS LÄN</t>
        </is>
      </c>
      <c r="E4175" t="inlineStr">
        <is>
          <t>KINDA</t>
        </is>
      </c>
      <c r="G4175" t="n">
        <v>2.5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22043-2022</t>
        </is>
      </c>
      <c r="B4176" s="1" t="n">
        <v>44711</v>
      </c>
      <c r="C4176" s="1" t="n">
        <v>45192</v>
      </c>
      <c r="D4176" t="inlineStr">
        <is>
          <t>ÖSTERGÖTLANDS LÄN</t>
        </is>
      </c>
      <c r="E4176" t="inlineStr">
        <is>
          <t>BOXHOLM</t>
        </is>
      </c>
      <c r="F4176" t="inlineStr">
        <is>
          <t>Övriga Aktiebolag</t>
        </is>
      </c>
      <c r="G4176" t="n">
        <v>1.3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22294-2022</t>
        </is>
      </c>
      <c r="B4177" s="1" t="n">
        <v>44712</v>
      </c>
      <c r="C4177" s="1" t="n">
        <v>45192</v>
      </c>
      <c r="D4177" t="inlineStr">
        <is>
          <t>ÖSTERGÖTLANDS LÄN</t>
        </is>
      </c>
      <c r="E4177" t="inlineStr">
        <is>
          <t>FINSPÅNG</t>
        </is>
      </c>
      <c r="F4177" t="inlineStr">
        <is>
          <t>Holmen skog AB</t>
        </is>
      </c>
      <c r="G4177" t="n">
        <v>0.5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22311-2022</t>
        </is>
      </c>
      <c r="B4178" s="1" t="n">
        <v>44712</v>
      </c>
      <c r="C4178" s="1" t="n">
        <v>45192</v>
      </c>
      <c r="D4178" t="inlineStr">
        <is>
          <t>ÖSTERGÖTLANDS LÄN</t>
        </is>
      </c>
      <c r="E4178" t="inlineStr">
        <is>
          <t>VALDEMARSVIK</t>
        </is>
      </c>
      <c r="G4178" t="n">
        <v>0.3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22412-2022</t>
        </is>
      </c>
      <c r="B4179" s="1" t="n">
        <v>44713</v>
      </c>
      <c r="C4179" s="1" t="n">
        <v>45192</v>
      </c>
      <c r="D4179" t="inlineStr">
        <is>
          <t>ÖSTERGÖTLANDS LÄN</t>
        </is>
      </c>
      <c r="E4179" t="inlineStr">
        <is>
          <t>FINSPÅNG</t>
        </is>
      </c>
      <c r="F4179" t="inlineStr">
        <is>
          <t>Holmen skog AB</t>
        </is>
      </c>
      <c r="G4179" t="n">
        <v>1.4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22463-2022</t>
        </is>
      </c>
      <c r="B4180" s="1" t="n">
        <v>44713</v>
      </c>
      <c r="C4180" s="1" t="n">
        <v>45192</v>
      </c>
      <c r="D4180" t="inlineStr">
        <is>
          <t>ÖSTERGÖTLANDS LÄN</t>
        </is>
      </c>
      <c r="E4180" t="inlineStr">
        <is>
          <t>NORRKÖPING</t>
        </is>
      </c>
      <c r="G4180" t="n">
        <v>0.9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22533-2022</t>
        </is>
      </c>
      <c r="B4181" s="1" t="n">
        <v>44713</v>
      </c>
      <c r="C4181" s="1" t="n">
        <v>45192</v>
      </c>
      <c r="D4181" t="inlineStr">
        <is>
          <t>ÖSTERGÖTLANDS LÄN</t>
        </is>
      </c>
      <c r="E4181" t="inlineStr">
        <is>
          <t>SÖDERKÖPING</t>
        </is>
      </c>
      <c r="G4181" t="n">
        <v>6.4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22409-2022</t>
        </is>
      </c>
      <c r="B4182" s="1" t="n">
        <v>44713</v>
      </c>
      <c r="C4182" s="1" t="n">
        <v>45192</v>
      </c>
      <c r="D4182" t="inlineStr">
        <is>
          <t>ÖSTERGÖTLANDS LÄN</t>
        </is>
      </c>
      <c r="E4182" t="inlineStr">
        <is>
          <t>YDRE</t>
        </is>
      </c>
      <c r="F4182" t="inlineStr">
        <is>
          <t>Kyrkan</t>
        </is>
      </c>
      <c r="G4182" t="n">
        <v>3.5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22714-2022</t>
        </is>
      </c>
      <c r="B4183" s="1" t="n">
        <v>44714</v>
      </c>
      <c r="C4183" s="1" t="n">
        <v>45192</v>
      </c>
      <c r="D4183" t="inlineStr">
        <is>
          <t>ÖSTERGÖTLANDS LÄN</t>
        </is>
      </c>
      <c r="E4183" t="inlineStr">
        <is>
          <t>FINSPÅNG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23175-2022</t>
        </is>
      </c>
      <c r="B4184" s="1" t="n">
        <v>44719</v>
      </c>
      <c r="C4184" s="1" t="n">
        <v>45192</v>
      </c>
      <c r="D4184" t="inlineStr">
        <is>
          <t>ÖSTERGÖTLANDS LÄN</t>
        </is>
      </c>
      <c r="E4184" t="inlineStr">
        <is>
          <t>NORRKÖPING</t>
        </is>
      </c>
      <c r="F4184" t="inlineStr">
        <is>
          <t>Allmännings- och besparingsskogar</t>
        </is>
      </c>
      <c r="G4184" t="n">
        <v>1.4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23248-2022</t>
        </is>
      </c>
      <c r="B4185" s="1" t="n">
        <v>44720</v>
      </c>
      <c r="C4185" s="1" t="n">
        <v>45192</v>
      </c>
      <c r="D4185" t="inlineStr">
        <is>
          <t>ÖSTERGÖTLANDS LÄN</t>
        </is>
      </c>
      <c r="E4185" t="inlineStr">
        <is>
          <t>KINDA</t>
        </is>
      </c>
      <c r="G4185" t="n">
        <v>1.7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23290-2022</t>
        </is>
      </c>
      <c r="B4186" s="1" t="n">
        <v>44720</v>
      </c>
      <c r="C4186" s="1" t="n">
        <v>45192</v>
      </c>
      <c r="D4186" t="inlineStr">
        <is>
          <t>ÖSTERGÖTLANDS LÄN</t>
        </is>
      </c>
      <c r="E4186" t="inlineStr">
        <is>
          <t>FINSPÅNG</t>
        </is>
      </c>
      <c r="F4186" t="inlineStr">
        <is>
          <t>Holmen skog AB</t>
        </is>
      </c>
      <c r="G4186" t="n">
        <v>1.9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23783-2022</t>
        </is>
      </c>
      <c r="B4187" s="1" t="n">
        <v>44721</v>
      </c>
      <c r="C4187" s="1" t="n">
        <v>45192</v>
      </c>
      <c r="D4187" t="inlineStr">
        <is>
          <t>ÖSTERGÖTLANDS LÄN</t>
        </is>
      </c>
      <c r="E4187" t="inlineStr">
        <is>
          <t>NORRKÖPING</t>
        </is>
      </c>
      <c r="G4187" t="n">
        <v>11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23520-2022</t>
        </is>
      </c>
      <c r="B4188" s="1" t="n">
        <v>44721</v>
      </c>
      <c r="C4188" s="1" t="n">
        <v>45192</v>
      </c>
      <c r="D4188" t="inlineStr">
        <is>
          <t>ÖSTERGÖTLANDS LÄN</t>
        </is>
      </c>
      <c r="E4188" t="inlineStr">
        <is>
          <t>ÅTVIDABERG</t>
        </is>
      </c>
      <c r="G4188" t="n">
        <v>0.6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23767-2022</t>
        </is>
      </c>
      <c r="B4189" s="1" t="n">
        <v>44721</v>
      </c>
      <c r="C4189" s="1" t="n">
        <v>45192</v>
      </c>
      <c r="D4189" t="inlineStr">
        <is>
          <t>ÖSTERGÖTLANDS LÄN</t>
        </is>
      </c>
      <c r="E4189" t="inlineStr">
        <is>
          <t>SÖDERKÖPING</t>
        </is>
      </c>
      <c r="G4189" t="n">
        <v>1.8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23517-2022</t>
        </is>
      </c>
      <c r="B4190" s="1" t="n">
        <v>44721</v>
      </c>
      <c r="C4190" s="1" t="n">
        <v>45192</v>
      </c>
      <c r="D4190" t="inlineStr">
        <is>
          <t>ÖSTERGÖTLANDS LÄN</t>
        </is>
      </c>
      <c r="E4190" t="inlineStr">
        <is>
          <t>ÅTVIDABERG</t>
        </is>
      </c>
      <c r="G4190" t="n">
        <v>1.2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23525-2022</t>
        </is>
      </c>
      <c r="B4191" s="1" t="n">
        <v>44721</v>
      </c>
      <c r="C4191" s="1" t="n">
        <v>45192</v>
      </c>
      <c r="D4191" t="inlineStr">
        <is>
          <t>ÖSTERGÖTLANDS LÄN</t>
        </is>
      </c>
      <c r="E4191" t="inlineStr">
        <is>
          <t>ÅTVIDABERG</t>
        </is>
      </c>
      <c r="G4191" t="n">
        <v>2.3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23530-2022</t>
        </is>
      </c>
      <c r="B4192" s="1" t="n">
        <v>44721</v>
      </c>
      <c r="C4192" s="1" t="n">
        <v>45192</v>
      </c>
      <c r="D4192" t="inlineStr">
        <is>
          <t>ÖSTERGÖTLANDS LÄN</t>
        </is>
      </c>
      <c r="E4192" t="inlineStr">
        <is>
          <t>ÅTVIDABERG</t>
        </is>
      </c>
      <c r="G4192" t="n">
        <v>0.9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23774-2022</t>
        </is>
      </c>
      <c r="B4193" s="1" t="n">
        <v>44722</v>
      </c>
      <c r="C4193" s="1" t="n">
        <v>45192</v>
      </c>
      <c r="D4193" t="inlineStr">
        <is>
          <t>ÖSTERGÖTLANDS LÄN</t>
        </is>
      </c>
      <c r="E4193" t="inlineStr">
        <is>
          <t>SÖDERKÖPING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23827-2022</t>
        </is>
      </c>
      <c r="B4194" s="1" t="n">
        <v>44722</v>
      </c>
      <c r="C4194" s="1" t="n">
        <v>45192</v>
      </c>
      <c r="D4194" t="inlineStr">
        <is>
          <t>ÖSTERGÖTLANDS LÄN</t>
        </is>
      </c>
      <c r="E4194" t="inlineStr">
        <is>
          <t>VALDEMARSVIK</t>
        </is>
      </c>
      <c r="G4194" t="n">
        <v>1.6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23844-2022</t>
        </is>
      </c>
      <c r="B4195" s="1" t="n">
        <v>44722</v>
      </c>
      <c r="C4195" s="1" t="n">
        <v>45192</v>
      </c>
      <c r="D4195" t="inlineStr">
        <is>
          <t>ÖSTERGÖTLANDS LÄN</t>
        </is>
      </c>
      <c r="E4195" t="inlineStr">
        <is>
          <t>ÅTVIDABERG</t>
        </is>
      </c>
      <c r="G4195" t="n">
        <v>2.8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24085-2022</t>
        </is>
      </c>
      <c r="B4196" s="1" t="n">
        <v>44724</v>
      </c>
      <c r="C4196" s="1" t="n">
        <v>45192</v>
      </c>
      <c r="D4196" t="inlineStr">
        <is>
          <t>ÖSTERGÖTLANDS LÄN</t>
        </is>
      </c>
      <c r="E4196" t="inlineStr">
        <is>
          <t>ÅTVIDABERG</t>
        </is>
      </c>
      <c r="G4196" t="n">
        <v>0.5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24234-2022</t>
        </is>
      </c>
      <c r="B4197" s="1" t="n">
        <v>44725</v>
      </c>
      <c r="C4197" s="1" t="n">
        <v>45192</v>
      </c>
      <c r="D4197" t="inlineStr">
        <is>
          <t>ÖSTERGÖTLANDS LÄN</t>
        </is>
      </c>
      <c r="E4197" t="inlineStr">
        <is>
          <t>VALDEMARSVIK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24498-2022</t>
        </is>
      </c>
      <c r="B4198" s="1" t="n">
        <v>44726</v>
      </c>
      <c r="C4198" s="1" t="n">
        <v>45192</v>
      </c>
      <c r="D4198" t="inlineStr">
        <is>
          <t>ÖSTERGÖTLANDS LÄN</t>
        </is>
      </c>
      <c r="E4198" t="inlineStr">
        <is>
          <t>NORRKÖPING</t>
        </is>
      </c>
      <c r="F4198" t="inlineStr">
        <is>
          <t>Allmännings- och besparingsskogar</t>
        </is>
      </c>
      <c r="G4198" t="n">
        <v>1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24350-2022</t>
        </is>
      </c>
      <c r="B4199" s="1" t="n">
        <v>44726</v>
      </c>
      <c r="C4199" s="1" t="n">
        <v>45192</v>
      </c>
      <c r="D4199" t="inlineStr">
        <is>
          <t>ÖSTERGÖTLANDS LÄN</t>
        </is>
      </c>
      <c r="E4199" t="inlineStr">
        <is>
          <t>VALDEMARSVIK</t>
        </is>
      </c>
      <c r="G4199" t="n">
        <v>0.8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24804-2022</t>
        </is>
      </c>
      <c r="B4200" s="1" t="n">
        <v>44728</v>
      </c>
      <c r="C4200" s="1" t="n">
        <v>45192</v>
      </c>
      <c r="D4200" t="inlineStr">
        <is>
          <t>ÖSTERGÖTLANDS LÄN</t>
        </is>
      </c>
      <c r="E4200" t="inlineStr">
        <is>
          <t>YDRE</t>
        </is>
      </c>
      <c r="F4200" t="inlineStr">
        <is>
          <t>Övriga Aktiebolag</t>
        </is>
      </c>
      <c r="G4200" t="n">
        <v>1.2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24865-2022</t>
        </is>
      </c>
      <c r="B4201" s="1" t="n">
        <v>44728</v>
      </c>
      <c r="C4201" s="1" t="n">
        <v>45192</v>
      </c>
      <c r="D4201" t="inlineStr">
        <is>
          <t>ÖSTERGÖTLANDS LÄN</t>
        </is>
      </c>
      <c r="E4201" t="inlineStr">
        <is>
          <t>ÅTVIDABERG</t>
        </is>
      </c>
      <c r="G4201" t="n">
        <v>1.3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24950-2022</t>
        </is>
      </c>
      <c r="B4202" s="1" t="n">
        <v>44728</v>
      </c>
      <c r="C4202" s="1" t="n">
        <v>45192</v>
      </c>
      <c r="D4202" t="inlineStr">
        <is>
          <t>ÖSTERGÖTLANDS LÄN</t>
        </is>
      </c>
      <c r="E4202" t="inlineStr">
        <is>
          <t>SÖDERKÖPING</t>
        </is>
      </c>
      <c r="G4202" t="n">
        <v>8.5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24972-2022</t>
        </is>
      </c>
      <c r="B4203" s="1" t="n">
        <v>44728</v>
      </c>
      <c r="C4203" s="1" t="n">
        <v>45192</v>
      </c>
      <c r="D4203" t="inlineStr">
        <is>
          <t>ÖSTERGÖTLANDS LÄN</t>
        </is>
      </c>
      <c r="E4203" t="inlineStr">
        <is>
          <t>VALDEMARSVIK</t>
        </is>
      </c>
      <c r="G4203" t="n">
        <v>1.5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24801-2022</t>
        </is>
      </c>
      <c r="B4204" s="1" t="n">
        <v>44728</v>
      </c>
      <c r="C4204" s="1" t="n">
        <v>45192</v>
      </c>
      <c r="D4204" t="inlineStr">
        <is>
          <t>ÖSTERGÖTLANDS LÄN</t>
        </is>
      </c>
      <c r="E4204" t="inlineStr">
        <is>
          <t>YDRE</t>
        </is>
      </c>
      <c r="F4204" t="inlineStr">
        <is>
          <t>Övriga Aktiebolag</t>
        </is>
      </c>
      <c r="G4204" t="n">
        <v>5.1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24959-2022</t>
        </is>
      </c>
      <c r="B4205" s="1" t="n">
        <v>44728</v>
      </c>
      <c r="C4205" s="1" t="n">
        <v>45192</v>
      </c>
      <c r="D4205" t="inlineStr">
        <is>
          <t>ÖSTERGÖTLANDS LÄN</t>
        </is>
      </c>
      <c r="E4205" t="inlineStr">
        <is>
          <t>SÖDERKÖPING</t>
        </is>
      </c>
      <c r="F4205" t="inlineStr">
        <is>
          <t>Allmännings- och besparingsskogar</t>
        </is>
      </c>
      <c r="G4205" t="n">
        <v>1.9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25195-2022</t>
        </is>
      </c>
      <c r="B4206" s="1" t="n">
        <v>44729</v>
      </c>
      <c r="C4206" s="1" t="n">
        <v>45192</v>
      </c>
      <c r="D4206" t="inlineStr">
        <is>
          <t>ÖSTERGÖTLANDS LÄN</t>
        </is>
      </c>
      <c r="E4206" t="inlineStr">
        <is>
          <t>FINSPÅNG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25188-2022</t>
        </is>
      </c>
      <c r="B4207" s="1" t="n">
        <v>44729</v>
      </c>
      <c r="C4207" s="1" t="n">
        <v>45192</v>
      </c>
      <c r="D4207" t="inlineStr">
        <is>
          <t>ÖSTERGÖTLANDS LÄN</t>
        </is>
      </c>
      <c r="E4207" t="inlineStr">
        <is>
          <t>KINDA</t>
        </is>
      </c>
      <c r="G4207" t="n">
        <v>0.1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25280-2022</t>
        </is>
      </c>
      <c r="B4208" s="1" t="n">
        <v>44730</v>
      </c>
      <c r="C4208" s="1" t="n">
        <v>45192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0.6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25288-2022</t>
        </is>
      </c>
      <c r="B4209" s="1" t="n">
        <v>44730</v>
      </c>
      <c r="C4209" s="1" t="n">
        <v>45192</v>
      </c>
      <c r="D4209" t="inlineStr">
        <is>
          <t>ÖSTERGÖTLANDS LÄN</t>
        </is>
      </c>
      <c r="E4209" t="inlineStr">
        <is>
          <t>NORRKÖPING</t>
        </is>
      </c>
      <c r="F4209" t="inlineStr">
        <is>
          <t>Allmännings- och besparingsskogar</t>
        </is>
      </c>
      <c r="G4209" t="n">
        <v>4.1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25420-2022</t>
        </is>
      </c>
      <c r="B4210" s="1" t="n">
        <v>44732</v>
      </c>
      <c r="C4210" s="1" t="n">
        <v>45192</v>
      </c>
      <c r="D4210" t="inlineStr">
        <is>
          <t>ÖSTERGÖTLANDS LÄN</t>
        </is>
      </c>
      <c r="E4210" t="inlineStr">
        <is>
          <t>FINSPÅNG</t>
        </is>
      </c>
      <c r="F4210" t="inlineStr">
        <is>
          <t>Holmen skog AB</t>
        </is>
      </c>
      <c r="G4210" t="n">
        <v>2.5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25626-2022</t>
        </is>
      </c>
      <c r="B4211" s="1" t="n">
        <v>44732</v>
      </c>
      <c r="C4211" s="1" t="n">
        <v>45192</v>
      </c>
      <c r="D4211" t="inlineStr">
        <is>
          <t>ÖSTERGÖTLANDS LÄN</t>
        </is>
      </c>
      <c r="E4211" t="inlineStr">
        <is>
          <t>KINDA</t>
        </is>
      </c>
      <c r="G4211" t="n">
        <v>7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25600-2022</t>
        </is>
      </c>
      <c r="B4212" s="1" t="n">
        <v>44732</v>
      </c>
      <c r="C4212" s="1" t="n">
        <v>45192</v>
      </c>
      <c r="D4212" t="inlineStr">
        <is>
          <t>ÖSTERGÖTLANDS LÄN</t>
        </is>
      </c>
      <c r="E4212" t="inlineStr">
        <is>
          <t>MOTALA</t>
        </is>
      </c>
      <c r="F4212" t="inlineStr">
        <is>
          <t>Övriga statliga verk och myndigheter</t>
        </is>
      </c>
      <c r="G4212" t="n">
        <v>14.3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25356-2022</t>
        </is>
      </c>
      <c r="B4213" s="1" t="n">
        <v>44732</v>
      </c>
      <c r="C4213" s="1" t="n">
        <v>45192</v>
      </c>
      <c r="D4213" t="inlineStr">
        <is>
          <t>ÖSTERGÖTLANDS LÄN</t>
        </is>
      </c>
      <c r="E4213" t="inlineStr">
        <is>
          <t>FINSPÅNG</t>
        </is>
      </c>
      <c r="F4213" t="inlineStr">
        <is>
          <t>Holmen skog AB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26087-2022</t>
        </is>
      </c>
      <c r="B4214" s="1" t="n">
        <v>44734</v>
      </c>
      <c r="C4214" s="1" t="n">
        <v>45192</v>
      </c>
      <c r="D4214" t="inlineStr">
        <is>
          <t>ÖSTERGÖTLANDS LÄN</t>
        </is>
      </c>
      <c r="E4214" t="inlineStr">
        <is>
          <t>FINSPÅNG</t>
        </is>
      </c>
      <c r="G4214" t="n">
        <v>0.5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26243-2022</t>
        </is>
      </c>
      <c r="B4215" s="1" t="n">
        <v>44735</v>
      </c>
      <c r="C4215" s="1" t="n">
        <v>45192</v>
      </c>
      <c r="D4215" t="inlineStr">
        <is>
          <t>ÖSTERGÖTLANDS LÄN</t>
        </is>
      </c>
      <c r="E4215" t="inlineStr">
        <is>
          <t>FINSPÅNG</t>
        </is>
      </c>
      <c r="G4215" t="n">
        <v>11.9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26348-2022</t>
        </is>
      </c>
      <c r="B4216" s="1" t="n">
        <v>44735</v>
      </c>
      <c r="C4216" s="1" t="n">
        <v>45192</v>
      </c>
      <c r="D4216" t="inlineStr">
        <is>
          <t>ÖSTERGÖTLANDS LÄN</t>
        </is>
      </c>
      <c r="E4216" t="inlineStr">
        <is>
          <t>ÅTVIDABERG</t>
        </is>
      </c>
      <c r="G4216" t="n">
        <v>2.7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26580-2022</t>
        </is>
      </c>
      <c r="B4217" s="1" t="n">
        <v>44739</v>
      </c>
      <c r="C4217" s="1" t="n">
        <v>45192</v>
      </c>
      <c r="D4217" t="inlineStr">
        <is>
          <t>ÖSTERGÖTLANDS LÄN</t>
        </is>
      </c>
      <c r="E4217" t="inlineStr">
        <is>
          <t>NORRKÖPING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26929-2022</t>
        </is>
      </c>
      <c r="B4218" s="1" t="n">
        <v>44740</v>
      </c>
      <c r="C4218" s="1" t="n">
        <v>45192</v>
      </c>
      <c r="D4218" t="inlineStr">
        <is>
          <t>ÖSTERGÖTLANDS LÄN</t>
        </is>
      </c>
      <c r="E4218" t="inlineStr">
        <is>
          <t>NORRKÖPING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26788-2022</t>
        </is>
      </c>
      <c r="B4219" s="1" t="n">
        <v>44740</v>
      </c>
      <c r="C4219" s="1" t="n">
        <v>45192</v>
      </c>
      <c r="D4219" t="inlineStr">
        <is>
          <t>ÖSTERGÖTLANDS LÄN</t>
        </is>
      </c>
      <c r="E4219" t="inlineStr">
        <is>
          <t>LINKÖPING</t>
        </is>
      </c>
      <c r="G4219" t="n">
        <v>3.2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27162-2022</t>
        </is>
      </c>
      <c r="B4220" s="1" t="n">
        <v>44741</v>
      </c>
      <c r="C4220" s="1" t="n">
        <v>45192</v>
      </c>
      <c r="D4220" t="inlineStr">
        <is>
          <t>ÖSTERGÖTLANDS LÄN</t>
        </is>
      </c>
      <c r="E4220" t="inlineStr">
        <is>
          <t>FINSPÅNG</t>
        </is>
      </c>
      <c r="G4220" t="n">
        <v>0.7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27170-2022</t>
        </is>
      </c>
      <c r="B4221" s="1" t="n">
        <v>44741</v>
      </c>
      <c r="C4221" s="1" t="n">
        <v>45192</v>
      </c>
      <c r="D4221" t="inlineStr">
        <is>
          <t>ÖSTERGÖTLANDS LÄN</t>
        </is>
      </c>
      <c r="E4221" t="inlineStr">
        <is>
          <t>ÅTVIDABERG</t>
        </is>
      </c>
      <c r="G4221" t="n">
        <v>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27040-2022</t>
        </is>
      </c>
      <c r="B4222" s="1" t="n">
        <v>44741</v>
      </c>
      <c r="C4222" s="1" t="n">
        <v>45192</v>
      </c>
      <c r="D4222" t="inlineStr">
        <is>
          <t>ÖSTERGÖTLANDS LÄN</t>
        </is>
      </c>
      <c r="E4222" t="inlineStr">
        <is>
          <t>NORRKÖPING</t>
        </is>
      </c>
      <c r="G4222" t="n">
        <v>1.1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27155-2022</t>
        </is>
      </c>
      <c r="B4223" s="1" t="n">
        <v>44741</v>
      </c>
      <c r="C4223" s="1" t="n">
        <v>45192</v>
      </c>
      <c r="D4223" t="inlineStr">
        <is>
          <t>ÖSTERGÖTLANDS LÄN</t>
        </is>
      </c>
      <c r="E4223" t="inlineStr">
        <is>
          <t>FINSPÅNG</t>
        </is>
      </c>
      <c r="G4223" t="n">
        <v>0.5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27493-2022</t>
        </is>
      </c>
      <c r="B4224" s="1" t="n">
        <v>44742</v>
      </c>
      <c r="C4224" s="1" t="n">
        <v>45192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0.6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27469-2022</t>
        </is>
      </c>
      <c r="B4225" s="1" t="n">
        <v>44742</v>
      </c>
      <c r="C4225" s="1" t="n">
        <v>45192</v>
      </c>
      <c r="D4225" t="inlineStr">
        <is>
          <t>ÖSTERGÖTLANDS LÄN</t>
        </is>
      </c>
      <c r="E4225" t="inlineStr">
        <is>
          <t>FINSPÅNG</t>
        </is>
      </c>
      <c r="F4225" t="inlineStr">
        <is>
          <t>Holmen skog AB</t>
        </is>
      </c>
      <c r="G4225" t="n">
        <v>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27376-2022</t>
        </is>
      </c>
      <c r="B4226" s="1" t="n">
        <v>44742</v>
      </c>
      <c r="C4226" s="1" t="n">
        <v>45192</v>
      </c>
      <c r="D4226" t="inlineStr">
        <is>
          <t>ÖSTERGÖTLANDS LÄN</t>
        </is>
      </c>
      <c r="E4226" t="inlineStr">
        <is>
          <t>KINDA</t>
        </is>
      </c>
      <c r="G4226" t="n">
        <v>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27415-2022</t>
        </is>
      </c>
      <c r="B4227" s="1" t="n">
        <v>44742</v>
      </c>
      <c r="C4227" s="1" t="n">
        <v>45192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27417-2022</t>
        </is>
      </c>
      <c r="B4228" s="1" t="n">
        <v>44742</v>
      </c>
      <c r="C4228" s="1" t="n">
        <v>45192</v>
      </c>
      <c r="D4228" t="inlineStr">
        <is>
          <t>ÖSTERGÖTLANDS LÄN</t>
        </is>
      </c>
      <c r="E4228" t="inlineStr">
        <is>
          <t>ÅTVIDABERG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27503-2022</t>
        </is>
      </c>
      <c r="B4229" s="1" t="n">
        <v>44742</v>
      </c>
      <c r="C4229" s="1" t="n">
        <v>45192</v>
      </c>
      <c r="D4229" t="inlineStr">
        <is>
          <t>ÖSTERGÖTLANDS LÄN</t>
        </is>
      </c>
      <c r="E4229" t="inlineStr">
        <is>
          <t>NORRKÖPING</t>
        </is>
      </c>
      <c r="G4229" t="n">
        <v>2.9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27648-2022</t>
        </is>
      </c>
      <c r="B4230" s="1" t="n">
        <v>44743</v>
      </c>
      <c r="C4230" s="1" t="n">
        <v>45192</v>
      </c>
      <c r="D4230" t="inlineStr">
        <is>
          <t>ÖSTERGÖTLANDS LÄN</t>
        </is>
      </c>
      <c r="E4230" t="inlineStr">
        <is>
          <t>ÖDESHÖG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27745-2022</t>
        </is>
      </c>
      <c r="B4231" s="1" t="n">
        <v>44743</v>
      </c>
      <c r="C4231" s="1" t="n">
        <v>45192</v>
      </c>
      <c r="D4231" t="inlineStr">
        <is>
          <t>ÖSTERGÖTLANDS LÄN</t>
        </is>
      </c>
      <c r="E4231" t="inlineStr">
        <is>
          <t>MJÖLBY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27735-2022</t>
        </is>
      </c>
      <c r="B4232" s="1" t="n">
        <v>44743</v>
      </c>
      <c r="C4232" s="1" t="n">
        <v>45192</v>
      </c>
      <c r="D4232" t="inlineStr">
        <is>
          <t>ÖSTERGÖTLANDS LÄN</t>
        </is>
      </c>
      <c r="E4232" t="inlineStr">
        <is>
          <t>LINKÖPING</t>
        </is>
      </c>
      <c r="G4232" t="n">
        <v>3.5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27751-2022</t>
        </is>
      </c>
      <c r="B4233" s="1" t="n">
        <v>44743</v>
      </c>
      <c r="C4233" s="1" t="n">
        <v>45192</v>
      </c>
      <c r="D4233" t="inlineStr">
        <is>
          <t>ÖSTERGÖTLANDS LÄN</t>
        </is>
      </c>
      <c r="E4233" t="inlineStr">
        <is>
          <t>MJÖLBY</t>
        </is>
      </c>
      <c r="G4233" t="n">
        <v>1.7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27657-2022</t>
        </is>
      </c>
      <c r="B4234" s="1" t="n">
        <v>44743</v>
      </c>
      <c r="C4234" s="1" t="n">
        <v>45192</v>
      </c>
      <c r="D4234" t="inlineStr">
        <is>
          <t>ÖSTERGÖTLANDS LÄN</t>
        </is>
      </c>
      <c r="E4234" t="inlineStr">
        <is>
          <t>FINSPÅNG</t>
        </is>
      </c>
      <c r="G4234" t="n">
        <v>0.7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27737-2022</t>
        </is>
      </c>
      <c r="B4235" s="1" t="n">
        <v>44743</v>
      </c>
      <c r="C4235" s="1" t="n">
        <v>45192</v>
      </c>
      <c r="D4235" t="inlineStr">
        <is>
          <t>ÖSTERGÖTLANDS LÄN</t>
        </is>
      </c>
      <c r="E4235" t="inlineStr">
        <is>
          <t>YDRE</t>
        </is>
      </c>
      <c r="G4235" t="n">
        <v>1.1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27744-2022</t>
        </is>
      </c>
      <c r="B4236" s="1" t="n">
        <v>44743</v>
      </c>
      <c r="C4236" s="1" t="n">
        <v>45192</v>
      </c>
      <c r="D4236" t="inlineStr">
        <is>
          <t>ÖSTERGÖTLANDS LÄN</t>
        </is>
      </c>
      <c r="E4236" t="inlineStr">
        <is>
          <t>YDRE</t>
        </is>
      </c>
      <c r="G4236" t="n">
        <v>2.2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27978-2022</t>
        </is>
      </c>
      <c r="B4237" s="1" t="n">
        <v>44745</v>
      </c>
      <c r="C4237" s="1" t="n">
        <v>45192</v>
      </c>
      <c r="D4237" t="inlineStr">
        <is>
          <t>ÖSTERGÖTLANDS LÄN</t>
        </is>
      </c>
      <c r="E4237" t="inlineStr">
        <is>
          <t>ÅTVIDABERG</t>
        </is>
      </c>
      <c r="G4237" t="n">
        <v>1.4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27977-2022</t>
        </is>
      </c>
      <c r="B4238" s="1" t="n">
        <v>44745</v>
      </c>
      <c r="C4238" s="1" t="n">
        <v>45192</v>
      </c>
      <c r="D4238" t="inlineStr">
        <is>
          <t>ÖSTERGÖTLANDS LÄN</t>
        </is>
      </c>
      <c r="E4238" t="inlineStr">
        <is>
          <t>ÅTVIDABERG</t>
        </is>
      </c>
      <c r="G4238" t="n">
        <v>1.8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28076-2022</t>
        </is>
      </c>
      <c r="B4239" s="1" t="n">
        <v>44746</v>
      </c>
      <c r="C4239" s="1" t="n">
        <v>45192</v>
      </c>
      <c r="D4239" t="inlineStr">
        <is>
          <t>ÖSTERGÖTLANDS LÄN</t>
        </is>
      </c>
      <c r="E4239" t="inlineStr">
        <is>
          <t>NORRKÖPING</t>
        </is>
      </c>
      <c r="G4239" t="n">
        <v>1.4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28062-2022</t>
        </is>
      </c>
      <c r="B4240" s="1" t="n">
        <v>44746</v>
      </c>
      <c r="C4240" s="1" t="n">
        <v>45192</v>
      </c>
      <c r="D4240" t="inlineStr">
        <is>
          <t>ÖSTERGÖTLANDS LÄN</t>
        </is>
      </c>
      <c r="E4240" t="inlineStr">
        <is>
          <t>NORRKÖPING</t>
        </is>
      </c>
      <c r="G4240" t="n">
        <v>3.6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28395-2022</t>
        </is>
      </c>
      <c r="B4241" s="1" t="n">
        <v>44747</v>
      </c>
      <c r="C4241" s="1" t="n">
        <v>45192</v>
      </c>
      <c r="D4241" t="inlineStr">
        <is>
          <t>ÖSTERGÖTLANDS LÄN</t>
        </is>
      </c>
      <c r="E4241" t="inlineStr">
        <is>
          <t>MOTALA</t>
        </is>
      </c>
      <c r="G4241" t="n">
        <v>8.300000000000001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28603-2022</t>
        </is>
      </c>
      <c r="B4242" s="1" t="n">
        <v>44748</v>
      </c>
      <c r="C4242" s="1" t="n">
        <v>45192</v>
      </c>
      <c r="D4242" t="inlineStr">
        <is>
          <t>ÖSTERGÖTLANDS LÄN</t>
        </is>
      </c>
      <c r="E4242" t="inlineStr">
        <is>
          <t>LINKÖPING</t>
        </is>
      </c>
      <c r="G4242" t="n">
        <v>2.8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28634-2022</t>
        </is>
      </c>
      <c r="B4243" s="1" t="n">
        <v>44748</v>
      </c>
      <c r="C4243" s="1" t="n">
        <v>45192</v>
      </c>
      <c r="D4243" t="inlineStr">
        <is>
          <t>ÖSTERGÖTLANDS LÄN</t>
        </is>
      </c>
      <c r="E4243" t="inlineStr">
        <is>
          <t>LINKÖPING</t>
        </is>
      </c>
      <c r="G4243" t="n">
        <v>8.300000000000001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28686-2022</t>
        </is>
      </c>
      <c r="B4244" s="1" t="n">
        <v>44748</v>
      </c>
      <c r="C4244" s="1" t="n">
        <v>45192</v>
      </c>
      <c r="D4244" t="inlineStr">
        <is>
          <t>ÖSTERGÖTLANDS LÄN</t>
        </is>
      </c>
      <c r="E4244" t="inlineStr">
        <is>
          <t>MOTALA</t>
        </is>
      </c>
      <c r="G4244" t="n">
        <v>1.5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28595-2022</t>
        </is>
      </c>
      <c r="B4245" s="1" t="n">
        <v>44748</v>
      </c>
      <c r="C4245" s="1" t="n">
        <v>45192</v>
      </c>
      <c r="D4245" t="inlineStr">
        <is>
          <t>ÖSTERGÖTLANDS LÄN</t>
        </is>
      </c>
      <c r="E4245" t="inlineStr">
        <is>
          <t>LINKÖPING</t>
        </is>
      </c>
      <c r="G4245" t="n">
        <v>1.7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28991-2022</t>
        </is>
      </c>
      <c r="B4246" s="1" t="n">
        <v>44749</v>
      </c>
      <c r="C4246" s="1" t="n">
        <v>45192</v>
      </c>
      <c r="D4246" t="inlineStr">
        <is>
          <t>ÖSTERGÖTLANDS LÄN</t>
        </is>
      </c>
      <c r="E4246" t="inlineStr">
        <is>
          <t>YDRE</t>
        </is>
      </c>
      <c r="G4246" t="n">
        <v>5.6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28997-2022</t>
        </is>
      </c>
      <c r="B4247" s="1" t="n">
        <v>44749</v>
      </c>
      <c r="C4247" s="1" t="n">
        <v>45192</v>
      </c>
      <c r="D4247" t="inlineStr">
        <is>
          <t>ÖSTERGÖTLANDS LÄN</t>
        </is>
      </c>
      <c r="E4247" t="inlineStr">
        <is>
          <t>VALDEMARSVIK</t>
        </is>
      </c>
      <c r="G4247" t="n">
        <v>6.6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29078-2022</t>
        </is>
      </c>
      <c r="B4248" s="1" t="n">
        <v>44749</v>
      </c>
      <c r="C4248" s="1" t="n">
        <v>45192</v>
      </c>
      <c r="D4248" t="inlineStr">
        <is>
          <t>ÖSTERGÖTLANDS LÄN</t>
        </is>
      </c>
      <c r="E4248" t="inlineStr">
        <is>
          <t>FINSPÅNG</t>
        </is>
      </c>
      <c r="G4248" t="n">
        <v>1.1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29254-2022</t>
        </is>
      </c>
      <c r="B4249" s="1" t="n">
        <v>44750</v>
      </c>
      <c r="C4249" s="1" t="n">
        <v>45192</v>
      </c>
      <c r="D4249" t="inlineStr">
        <is>
          <t>ÖSTERGÖTLANDS LÄN</t>
        </is>
      </c>
      <c r="E4249" t="inlineStr">
        <is>
          <t>LINKÖPING</t>
        </is>
      </c>
      <c r="G4249" t="n">
        <v>2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29179-2022</t>
        </is>
      </c>
      <c r="B4250" s="1" t="n">
        <v>44750</v>
      </c>
      <c r="C4250" s="1" t="n">
        <v>45192</v>
      </c>
      <c r="D4250" t="inlineStr">
        <is>
          <t>ÖSTERGÖTLANDS LÄN</t>
        </is>
      </c>
      <c r="E4250" t="inlineStr">
        <is>
          <t>BOXHOLM</t>
        </is>
      </c>
      <c r="G4250" t="n">
        <v>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29269-2022</t>
        </is>
      </c>
      <c r="B4251" s="1" t="n">
        <v>44750</v>
      </c>
      <c r="C4251" s="1" t="n">
        <v>45192</v>
      </c>
      <c r="D4251" t="inlineStr">
        <is>
          <t>ÖSTERGÖTLANDS LÄN</t>
        </is>
      </c>
      <c r="E4251" t="inlineStr">
        <is>
          <t>ÖDESHÖG</t>
        </is>
      </c>
      <c r="G4251" t="n">
        <v>2.7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29472-2022</t>
        </is>
      </c>
      <c r="B4252" s="1" t="n">
        <v>44753</v>
      </c>
      <c r="C4252" s="1" t="n">
        <v>45192</v>
      </c>
      <c r="D4252" t="inlineStr">
        <is>
          <t>ÖSTERGÖTLANDS LÄN</t>
        </is>
      </c>
      <c r="E4252" t="inlineStr">
        <is>
          <t>FINSPÅNG</t>
        </is>
      </c>
      <c r="G4252" t="n">
        <v>8.300000000000001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29381-2022</t>
        </is>
      </c>
      <c r="B4253" s="1" t="n">
        <v>44753</v>
      </c>
      <c r="C4253" s="1" t="n">
        <v>45192</v>
      </c>
      <c r="D4253" t="inlineStr">
        <is>
          <t>ÖSTERGÖTLANDS LÄN</t>
        </is>
      </c>
      <c r="E4253" t="inlineStr">
        <is>
          <t>VALDEMARSVIK</t>
        </is>
      </c>
      <c r="G4253" t="n">
        <v>21.5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29470-2022</t>
        </is>
      </c>
      <c r="B4254" s="1" t="n">
        <v>44753</v>
      </c>
      <c r="C4254" s="1" t="n">
        <v>45192</v>
      </c>
      <c r="D4254" t="inlineStr">
        <is>
          <t>ÖSTERGÖTLANDS LÄN</t>
        </is>
      </c>
      <c r="E4254" t="inlineStr">
        <is>
          <t>LINKÖPING</t>
        </is>
      </c>
      <c r="F4254" t="inlineStr">
        <is>
          <t>Sveaskog</t>
        </is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29424-2022</t>
        </is>
      </c>
      <c r="B4255" s="1" t="n">
        <v>44753</v>
      </c>
      <c r="C4255" s="1" t="n">
        <v>45192</v>
      </c>
      <c r="D4255" t="inlineStr">
        <is>
          <t>ÖSTERGÖTLANDS LÄN</t>
        </is>
      </c>
      <c r="E4255" t="inlineStr">
        <is>
          <t>VALDEMARSVIK</t>
        </is>
      </c>
      <c r="G4255" t="n">
        <v>5.4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29648-2022</t>
        </is>
      </c>
      <c r="B4256" s="1" t="n">
        <v>44754</v>
      </c>
      <c r="C4256" s="1" t="n">
        <v>45192</v>
      </c>
      <c r="D4256" t="inlineStr">
        <is>
          <t>ÖSTERGÖTLANDS LÄN</t>
        </is>
      </c>
      <c r="E4256" t="inlineStr">
        <is>
          <t>NORRKÖPING</t>
        </is>
      </c>
      <c r="F4256" t="inlineStr">
        <is>
          <t>Allmännings- och besparingsskogar</t>
        </is>
      </c>
      <c r="G4256" t="n">
        <v>0.9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29743-2022</t>
        </is>
      </c>
      <c r="B4257" s="1" t="n">
        <v>44755</v>
      </c>
      <c r="C4257" s="1" t="n">
        <v>45192</v>
      </c>
      <c r="D4257" t="inlineStr">
        <is>
          <t>ÖSTERGÖTLANDS LÄN</t>
        </is>
      </c>
      <c r="E4257" t="inlineStr">
        <is>
          <t>MOTALA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29798-2022</t>
        </is>
      </c>
      <c r="B4258" s="1" t="n">
        <v>44755</v>
      </c>
      <c r="C4258" s="1" t="n">
        <v>45192</v>
      </c>
      <c r="D4258" t="inlineStr">
        <is>
          <t>ÖSTERGÖTLANDS LÄN</t>
        </is>
      </c>
      <c r="E4258" t="inlineStr">
        <is>
          <t>FINSPÅNG</t>
        </is>
      </c>
      <c r="F4258" t="inlineStr">
        <is>
          <t>Holmen skog AB</t>
        </is>
      </c>
      <c r="G4258" t="n">
        <v>2.3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30056-2022</t>
        </is>
      </c>
      <c r="B4259" s="1" t="n">
        <v>44756</v>
      </c>
      <c r="C4259" s="1" t="n">
        <v>45192</v>
      </c>
      <c r="D4259" t="inlineStr">
        <is>
          <t>ÖSTERGÖTLANDS LÄN</t>
        </is>
      </c>
      <c r="E4259" t="inlineStr">
        <is>
          <t>NORRKÖPING</t>
        </is>
      </c>
      <c r="G4259" t="n">
        <v>1.4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30321-2022</t>
        </is>
      </c>
      <c r="B4260" s="1" t="n">
        <v>44760</v>
      </c>
      <c r="C4260" s="1" t="n">
        <v>45192</v>
      </c>
      <c r="D4260" t="inlineStr">
        <is>
          <t>ÖSTERGÖTLANDS LÄN</t>
        </is>
      </c>
      <c r="E4260" t="inlineStr">
        <is>
          <t>ÅTVIDABERG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30438-2022</t>
        </is>
      </c>
      <c r="B4261" s="1" t="n">
        <v>44761</v>
      </c>
      <c r="C4261" s="1" t="n">
        <v>45192</v>
      </c>
      <c r="D4261" t="inlineStr">
        <is>
          <t>ÖSTERGÖTLANDS LÄN</t>
        </is>
      </c>
      <c r="E4261" t="inlineStr">
        <is>
          <t>SÖDERKÖPING</t>
        </is>
      </c>
      <c r="G4261" t="n">
        <v>2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30733-2022</t>
        </is>
      </c>
      <c r="B4262" s="1" t="n">
        <v>44764</v>
      </c>
      <c r="C4262" s="1" t="n">
        <v>45192</v>
      </c>
      <c r="D4262" t="inlineStr">
        <is>
          <t>ÖSTERGÖTLANDS LÄN</t>
        </is>
      </c>
      <c r="E4262" t="inlineStr">
        <is>
          <t>FINSPÅNG</t>
        </is>
      </c>
      <c r="F4262" t="inlineStr">
        <is>
          <t>Holmen skog AB</t>
        </is>
      </c>
      <c r="G4262" t="n">
        <v>1.7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30801-2022</t>
        </is>
      </c>
      <c r="B4263" s="1" t="n">
        <v>44764</v>
      </c>
      <c r="C4263" s="1" t="n">
        <v>45192</v>
      </c>
      <c r="D4263" t="inlineStr">
        <is>
          <t>ÖSTERGÖTLANDS LÄN</t>
        </is>
      </c>
      <c r="E4263" t="inlineStr">
        <is>
          <t>LINKÖPING</t>
        </is>
      </c>
      <c r="G4263" t="n">
        <v>1.1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30834-2022</t>
        </is>
      </c>
      <c r="B4264" s="1" t="n">
        <v>44767</v>
      </c>
      <c r="C4264" s="1" t="n">
        <v>45192</v>
      </c>
      <c r="D4264" t="inlineStr">
        <is>
          <t>ÖSTERGÖTLANDS LÄN</t>
        </is>
      </c>
      <c r="E4264" t="inlineStr">
        <is>
          <t>NORRKÖPING</t>
        </is>
      </c>
      <c r="G4264" t="n">
        <v>3.2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30922-2022</t>
        </is>
      </c>
      <c r="B4265" s="1" t="n">
        <v>44767</v>
      </c>
      <c r="C4265" s="1" t="n">
        <v>45192</v>
      </c>
      <c r="D4265" t="inlineStr">
        <is>
          <t>ÖSTERGÖTLANDS LÄN</t>
        </is>
      </c>
      <c r="E4265" t="inlineStr">
        <is>
          <t>FINSPÅNG</t>
        </is>
      </c>
      <c r="G4265" t="n">
        <v>10.6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30855-2022</t>
        </is>
      </c>
      <c r="B4266" s="1" t="n">
        <v>44767</v>
      </c>
      <c r="C4266" s="1" t="n">
        <v>45192</v>
      </c>
      <c r="D4266" t="inlineStr">
        <is>
          <t>ÖSTERGÖTLANDS LÄN</t>
        </is>
      </c>
      <c r="E4266" t="inlineStr">
        <is>
          <t>LINKÖPING</t>
        </is>
      </c>
      <c r="G4266" t="n">
        <v>2.2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30858-2022</t>
        </is>
      </c>
      <c r="B4267" s="1" t="n">
        <v>44767</v>
      </c>
      <c r="C4267" s="1" t="n">
        <v>45192</v>
      </c>
      <c r="D4267" t="inlineStr">
        <is>
          <t>ÖSTERGÖTLANDS LÄN</t>
        </is>
      </c>
      <c r="E4267" t="inlineStr">
        <is>
          <t>LINKÖPING</t>
        </is>
      </c>
      <c r="G4267" t="n">
        <v>0.5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30856-2022</t>
        </is>
      </c>
      <c r="B4268" s="1" t="n">
        <v>44767</v>
      </c>
      <c r="C4268" s="1" t="n">
        <v>45192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30860-2022</t>
        </is>
      </c>
      <c r="B4269" s="1" t="n">
        <v>44767</v>
      </c>
      <c r="C4269" s="1" t="n">
        <v>45192</v>
      </c>
      <c r="D4269" t="inlineStr">
        <is>
          <t>ÖSTERGÖTLANDS LÄN</t>
        </is>
      </c>
      <c r="E4269" t="inlineStr">
        <is>
          <t>LINKÖPING</t>
        </is>
      </c>
      <c r="G4269" t="n">
        <v>0.8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30891-2022</t>
        </is>
      </c>
      <c r="B4270" s="1" t="n">
        <v>44767</v>
      </c>
      <c r="C4270" s="1" t="n">
        <v>45192</v>
      </c>
      <c r="D4270" t="inlineStr">
        <is>
          <t>ÖSTERGÖTLANDS LÄN</t>
        </is>
      </c>
      <c r="E4270" t="inlineStr">
        <is>
          <t>ÅTVIDABERG</t>
        </is>
      </c>
      <c r="G4270" t="n">
        <v>1.9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30976-2022</t>
        </is>
      </c>
      <c r="B4271" s="1" t="n">
        <v>44768</v>
      </c>
      <c r="C4271" s="1" t="n">
        <v>45192</v>
      </c>
      <c r="D4271" t="inlineStr">
        <is>
          <t>ÖSTERGÖTLANDS LÄN</t>
        </is>
      </c>
      <c r="E4271" t="inlineStr">
        <is>
          <t>LINKÖPING</t>
        </is>
      </c>
      <c r="G4271" t="n">
        <v>0.6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30985-2022</t>
        </is>
      </c>
      <c r="B4272" s="1" t="n">
        <v>44768</v>
      </c>
      <c r="C4272" s="1" t="n">
        <v>45192</v>
      </c>
      <c r="D4272" t="inlineStr">
        <is>
          <t>ÖSTERGÖTLANDS LÄN</t>
        </is>
      </c>
      <c r="E4272" t="inlineStr">
        <is>
          <t>LINKÖPING</t>
        </is>
      </c>
      <c r="G4272" t="n">
        <v>1.1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30980-2022</t>
        </is>
      </c>
      <c r="B4273" s="1" t="n">
        <v>44768</v>
      </c>
      <c r="C4273" s="1" t="n">
        <v>45192</v>
      </c>
      <c r="D4273" t="inlineStr">
        <is>
          <t>ÖSTERGÖTLANDS LÄN</t>
        </is>
      </c>
      <c r="E4273" t="inlineStr">
        <is>
          <t>LINKÖPING</t>
        </is>
      </c>
      <c r="G4273" t="n">
        <v>0.9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30970-2022</t>
        </is>
      </c>
      <c r="B4274" s="1" t="n">
        <v>44768</v>
      </c>
      <c r="C4274" s="1" t="n">
        <v>45192</v>
      </c>
      <c r="D4274" t="inlineStr">
        <is>
          <t>ÖSTERGÖTLANDS LÄN</t>
        </is>
      </c>
      <c r="E4274" t="inlineStr">
        <is>
          <t>ÅTVIDABERG</t>
        </is>
      </c>
      <c r="F4274" t="inlineStr">
        <is>
          <t>Övriga statliga verk och myndigheter</t>
        </is>
      </c>
      <c r="G4274" t="n">
        <v>7.2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31010-2022</t>
        </is>
      </c>
      <c r="B4275" s="1" t="n">
        <v>44768</v>
      </c>
      <c r="C4275" s="1" t="n">
        <v>45192</v>
      </c>
      <c r="D4275" t="inlineStr">
        <is>
          <t>ÖSTERGÖTLANDS LÄN</t>
        </is>
      </c>
      <c r="E4275" t="inlineStr">
        <is>
          <t>MJÖLBY</t>
        </is>
      </c>
      <c r="G4275" t="n">
        <v>1.7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31127-2022</t>
        </is>
      </c>
      <c r="B4276" s="1" t="n">
        <v>44770</v>
      </c>
      <c r="C4276" s="1" t="n">
        <v>45192</v>
      </c>
      <c r="D4276" t="inlineStr">
        <is>
          <t>ÖSTERGÖTLANDS LÄN</t>
        </is>
      </c>
      <c r="E4276" t="inlineStr">
        <is>
          <t>ÅTVIDABERG</t>
        </is>
      </c>
      <c r="G4276" t="n">
        <v>2.4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31323-2022</t>
        </is>
      </c>
      <c r="B4277" s="1" t="n">
        <v>44774</v>
      </c>
      <c r="C4277" s="1" t="n">
        <v>45192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31330-2022</t>
        </is>
      </c>
      <c r="B4278" s="1" t="n">
        <v>44774</v>
      </c>
      <c r="C4278" s="1" t="n">
        <v>45192</v>
      </c>
      <c r="D4278" t="inlineStr">
        <is>
          <t>ÖSTERGÖTLANDS LÄN</t>
        </is>
      </c>
      <c r="E4278" t="inlineStr">
        <is>
          <t>FINSPÅNG</t>
        </is>
      </c>
      <c r="F4278" t="inlineStr">
        <is>
          <t>Holmen skog AB</t>
        </is>
      </c>
      <c r="G4278" t="n">
        <v>2.3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31425-2022</t>
        </is>
      </c>
      <c r="B4279" s="1" t="n">
        <v>44774</v>
      </c>
      <c r="C4279" s="1" t="n">
        <v>45192</v>
      </c>
      <c r="D4279" t="inlineStr">
        <is>
          <t>ÖSTERGÖTLANDS LÄN</t>
        </is>
      </c>
      <c r="E4279" t="inlineStr">
        <is>
          <t>ÅTVIDABERG</t>
        </is>
      </c>
      <c r="G4279" t="n">
        <v>1.6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31393-2022</t>
        </is>
      </c>
      <c r="B4280" s="1" t="n">
        <v>44774</v>
      </c>
      <c r="C4280" s="1" t="n">
        <v>45192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0.4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31628-2022</t>
        </is>
      </c>
      <c r="B4281" s="1" t="n">
        <v>44775</v>
      </c>
      <c r="C4281" s="1" t="n">
        <v>45192</v>
      </c>
      <c r="D4281" t="inlineStr">
        <is>
          <t>ÖSTERGÖTLANDS LÄN</t>
        </is>
      </c>
      <c r="E4281" t="inlineStr">
        <is>
          <t>SÖDERKÖPING</t>
        </is>
      </c>
      <c r="G4281" t="n">
        <v>1.5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31703-2022</t>
        </is>
      </c>
      <c r="B4282" s="1" t="n">
        <v>44776</v>
      </c>
      <c r="C4282" s="1" t="n">
        <v>45192</v>
      </c>
      <c r="D4282" t="inlineStr">
        <is>
          <t>ÖSTERGÖTLANDS LÄN</t>
        </is>
      </c>
      <c r="E4282" t="inlineStr">
        <is>
          <t>LINKÖPING</t>
        </is>
      </c>
      <c r="G4282" t="n">
        <v>1.4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31744-2022</t>
        </is>
      </c>
      <c r="B4283" s="1" t="n">
        <v>44776</v>
      </c>
      <c r="C4283" s="1" t="n">
        <v>45192</v>
      </c>
      <c r="D4283" t="inlineStr">
        <is>
          <t>ÖSTERGÖTLANDS LÄN</t>
        </is>
      </c>
      <c r="E4283" t="inlineStr">
        <is>
          <t>MOTALA</t>
        </is>
      </c>
      <c r="G4283" t="n">
        <v>6.3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31817-2022</t>
        </is>
      </c>
      <c r="B4284" s="1" t="n">
        <v>44776</v>
      </c>
      <c r="C4284" s="1" t="n">
        <v>45192</v>
      </c>
      <c r="D4284" t="inlineStr">
        <is>
          <t>ÖSTERGÖTLANDS LÄN</t>
        </is>
      </c>
      <c r="E4284" t="inlineStr">
        <is>
          <t>KINDA</t>
        </is>
      </c>
      <c r="G4284" t="n">
        <v>1.5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31683-2022</t>
        </is>
      </c>
      <c r="B4285" s="1" t="n">
        <v>44776</v>
      </c>
      <c r="C4285" s="1" t="n">
        <v>45192</v>
      </c>
      <c r="D4285" t="inlineStr">
        <is>
          <t>ÖSTERGÖTLANDS LÄN</t>
        </is>
      </c>
      <c r="E4285" t="inlineStr">
        <is>
          <t>MOTALA</t>
        </is>
      </c>
      <c r="G4285" t="n">
        <v>5.2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31692-2022</t>
        </is>
      </c>
      <c r="B4286" s="1" t="n">
        <v>44776</v>
      </c>
      <c r="C4286" s="1" t="n">
        <v>45192</v>
      </c>
      <c r="D4286" t="inlineStr">
        <is>
          <t>ÖSTERGÖTLANDS LÄN</t>
        </is>
      </c>
      <c r="E4286" t="inlineStr">
        <is>
          <t>LINKÖPING</t>
        </is>
      </c>
      <c r="G4286" t="n">
        <v>3.9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31753-2022</t>
        </is>
      </c>
      <c r="B4287" s="1" t="n">
        <v>44776</v>
      </c>
      <c r="C4287" s="1" t="n">
        <v>45192</v>
      </c>
      <c r="D4287" t="inlineStr">
        <is>
          <t>ÖSTERGÖTLANDS LÄN</t>
        </is>
      </c>
      <c r="E4287" t="inlineStr">
        <is>
          <t>MOTALA</t>
        </is>
      </c>
      <c r="G4287" t="n">
        <v>6.4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31811-2022</t>
        </is>
      </c>
      <c r="B4288" s="1" t="n">
        <v>44776</v>
      </c>
      <c r="C4288" s="1" t="n">
        <v>45192</v>
      </c>
      <c r="D4288" t="inlineStr">
        <is>
          <t>ÖSTERGÖTLANDS LÄN</t>
        </is>
      </c>
      <c r="E4288" t="inlineStr">
        <is>
          <t>FINSPÅNG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32000-2022</t>
        </is>
      </c>
      <c r="B4289" s="1" t="n">
        <v>44777</v>
      </c>
      <c r="C4289" s="1" t="n">
        <v>45192</v>
      </c>
      <c r="D4289" t="inlineStr">
        <is>
          <t>ÖSTERGÖTLANDS LÄN</t>
        </is>
      </c>
      <c r="E4289" t="inlineStr">
        <is>
          <t>LINKÖPING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31929-2022</t>
        </is>
      </c>
      <c r="B4290" s="1" t="n">
        <v>44777</v>
      </c>
      <c r="C4290" s="1" t="n">
        <v>45192</v>
      </c>
      <c r="D4290" t="inlineStr">
        <is>
          <t>ÖSTERGÖTLANDS LÄN</t>
        </is>
      </c>
      <c r="E4290" t="inlineStr">
        <is>
          <t>ÅTVIDABERG</t>
        </is>
      </c>
      <c r="G4290" t="n">
        <v>1.2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31953-2022</t>
        </is>
      </c>
      <c r="B4291" s="1" t="n">
        <v>44777</v>
      </c>
      <c r="C4291" s="1" t="n">
        <v>45192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32057-2022</t>
        </is>
      </c>
      <c r="B4292" s="1" t="n">
        <v>44778</v>
      </c>
      <c r="C4292" s="1" t="n">
        <v>45192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  <c r="U4292">
        <f>HYPERLINK("https://klasma.github.io/Logging_ATVIDABERG/knärot/A 32057-2022.png", "A 32057-2022")</f>
        <v/>
      </c>
      <c r="V4292">
        <f>HYPERLINK("https://klasma.github.io/Logging_ATVIDABERG/klagomål/A 32057-2022.docx", "A 32057-2022")</f>
        <v/>
      </c>
      <c r="W4292">
        <f>HYPERLINK("https://klasma.github.io/Logging_ATVIDABERG/klagomålsmail/A 32057-2022.docx", "A 32057-2022")</f>
        <v/>
      </c>
      <c r="X4292">
        <f>HYPERLINK("https://klasma.github.io/Logging_ATVIDABERG/tillsyn/A 32057-2022.docx", "A 32057-2022")</f>
        <v/>
      </c>
      <c r="Y4292">
        <f>HYPERLINK("https://klasma.github.io/Logging_ATVIDABERG/tillsynsmail/A 32057-2022.docx", "A 32057-2022")</f>
        <v/>
      </c>
    </row>
    <row r="4293" ht="15" customHeight="1">
      <c r="A4293" t="inlineStr">
        <is>
          <t>A 32063-2022</t>
        </is>
      </c>
      <c r="B4293" s="1" t="n">
        <v>44778</v>
      </c>
      <c r="C4293" s="1" t="n">
        <v>45192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32069-2022</t>
        </is>
      </c>
      <c r="B4294" s="1" t="n">
        <v>44778</v>
      </c>
      <c r="C4294" s="1" t="n">
        <v>45192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32067-2022</t>
        </is>
      </c>
      <c r="B4295" s="1" t="n">
        <v>44778</v>
      </c>
      <c r="C4295" s="1" t="n">
        <v>45192</v>
      </c>
      <c r="D4295" t="inlineStr">
        <is>
          <t>ÖSTERGÖTLANDS LÄN</t>
        </is>
      </c>
      <c r="E4295" t="inlineStr">
        <is>
          <t>ÅTVIDABERG</t>
        </is>
      </c>
      <c r="G4295" t="n">
        <v>0.3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32014-2022</t>
        </is>
      </c>
      <c r="B4296" s="1" t="n">
        <v>44778</v>
      </c>
      <c r="C4296" s="1" t="n">
        <v>45192</v>
      </c>
      <c r="D4296" t="inlineStr">
        <is>
          <t>ÖSTERGÖTLANDS LÄN</t>
        </is>
      </c>
      <c r="E4296" t="inlineStr">
        <is>
          <t>FINSPÅNG</t>
        </is>
      </c>
      <c r="F4296" t="inlineStr">
        <is>
          <t>Holmen skog AB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32060-2022</t>
        </is>
      </c>
      <c r="B4297" s="1" t="n">
        <v>44778</v>
      </c>
      <c r="C4297" s="1" t="n">
        <v>45192</v>
      </c>
      <c r="D4297" t="inlineStr">
        <is>
          <t>ÖSTERGÖTLANDS LÄN</t>
        </is>
      </c>
      <c r="E4297" t="inlineStr">
        <is>
          <t>ÅTVIDABERG</t>
        </is>
      </c>
      <c r="G4297" t="n">
        <v>0.4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32066-2022</t>
        </is>
      </c>
      <c r="B4298" s="1" t="n">
        <v>44778</v>
      </c>
      <c r="C4298" s="1" t="n">
        <v>45192</v>
      </c>
      <c r="D4298" t="inlineStr">
        <is>
          <t>ÖSTERGÖTLANDS LÄN</t>
        </is>
      </c>
      <c r="E4298" t="inlineStr">
        <is>
          <t>ÅTVIDABERG</t>
        </is>
      </c>
      <c r="G4298" t="n">
        <v>0.3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32323-2022</t>
        </is>
      </c>
      <c r="B4299" s="1" t="n">
        <v>44781</v>
      </c>
      <c r="C4299" s="1" t="n">
        <v>45192</v>
      </c>
      <c r="D4299" t="inlineStr">
        <is>
          <t>ÖSTERGÖTLANDS LÄN</t>
        </is>
      </c>
      <c r="E4299" t="inlineStr">
        <is>
          <t>FINSPÅNG</t>
        </is>
      </c>
      <c r="G4299" t="n">
        <v>2.1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32324-2022</t>
        </is>
      </c>
      <c r="B4300" s="1" t="n">
        <v>44781</v>
      </c>
      <c r="C4300" s="1" t="n">
        <v>45192</v>
      </c>
      <c r="D4300" t="inlineStr">
        <is>
          <t>ÖSTERGÖTLANDS LÄN</t>
        </is>
      </c>
      <c r="E4300" t="inlineStr">
        <is>
          <t>FINSPÅNG</t>
        </is>
      </c>
      <c r="G4300" t="n">
        <v>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32416-2022</t>
        </is>
      </c>
      <c r="B4301" s="1" t="n">
        <v>44782</v>
      </c>
      <c r="C4301" s="1" t="n">
        <v>45192</v>
      </c>
      <c r="D4301" t="inlineStr">
        <is>
          <t>ÖSTERGÖTLANDS LÄN</t>
        </is>
      </c>
      <c r="E4301" t="inlineStr">
        <is>
          <t>ÅTVIDABERG</t>
        </is>
      </c>
      <c r="G4301" t="n">
        <v>2.3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32497-2022</t>
        </is>
      </c>
      <c r="B4302" s="1" t="n">
        <v>44782</v>
      </c>
      <c r="C4302" s="1" t="n">
        <v>45192</v>
      </c>
      <c r="D4302" t="inlineStr">
        <is>
          <t>ÖSTERGÖTLANDS LÄN</t>
        </is>
      </c>
      <c r="E4302" t="inlineStr">
        <is>
          <t>KINDA</t>
        </is>
      </c>
      <c r="G4302" t="n">
        <v>1.5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32470-2022</t>
        </is>
      </c>
      <c r="B4303" s="1" t="n">
        <v>44782</v>
      </c>
      <c r="C4303" s="1" t="n">
        <v>45192</v>
      </c>
      <c r="D4303" t="inlineStr">
        <is>
          <t>ÖSTERGÖTLANDS LÄN</t>
        </is>
      </c>
      <c r="E4303" t="inlineStr">
        <is>
          <t>MOTALA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33027-2022</t>
        </is>
      </c>
      <c r="B4304" s="1" t="n">
        <v>44782</v>
      </c>
      <c r="C4304" s="1" t="n">
        <v>45192</v>
      </c>
      <c r="D4304" t="inlineStr">
        <is>
          <t>ÖSTERGÖTLANDS LÄN</t>
        </is>
      </c>
      <c r="E4304" t="inlineStr">
        <is>
          <t>FINSPÅNG</t>
        </is>
      </c>
      <c r="G4304" t="n">
        <v>3.7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32626-2022</t>
        </is>
      </c>
      <c r="B4305" s="1" t="n">
        <v>44783</v>
      </c>
      <c r="C4305" s="1" t="n">
        <v>45192</v>
      </c>
      <c r="D4305" t="inlineStr">
        <is>
          <t>ÖSTERGÖTLANDS LÄN</t>
        </is>
      </c>
      <c r="E4305" t="inlineStr">
        <is>
          <t>NORRKÖPING</t>
        </is>
      </c>
      <c r="G4305" t="n">
        <v>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32574-2022</t>
        </is>
      </c>
      <c r="B4306" s="1" t="n">
        <v>44783</v>
      </c>
      <c r="C4306" s="1" t="n">
        <v>45192</v>
      </c>
      <c r="D4306" t="inlineStr">
        <is>
          <t>ÖSTERGÖTLANDS LÄN</t>
        </is>
      </c>
      <c r="E4306" t="inlineStr">
        <is>
          <t>NORRKÖPING</t>
        </is>
      </c>
      <c r="G4306" t="n">
        <v>2.1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32630-2022</t>
        </is>
      </c>
      <c r="B4307" s="1" t="n">
        <v>44783</v>
      </c>
      <c r="C4307" s="1" t="n">
        <v>45192</v>
      </c>
      <c r="D4307" t="inlineStr">
        <is>
          <t>ÖSTERGÖTLANDS LÄN</t>
        </is>
      </c>
      <c r="E4307" t="inlineStr">
        <is>
          <t>NORRKÖPING</t>
        </is>
      </c>
      <c r="G4307" t="n">
        <v>2.6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32556-2022</t>
        </is>
      </c>
      <c r="B4308" s="1" t="n">
        <v>44783</v>
      </c>
      <c r="C4308" s="1" t="n">
        <v>45192</v>
      </c>
      <c r="D4308" t="inlineStr">
        <is>
          <t>ÖSTERGÖTLANDS LÄN</t>
        </is>
      </c>
      <c r="E4308" t="inlineStr">
        <is>
          <t>LINKÖPING</t>
        </is>
      </c>
      <c r="G4308" t="n">
        <v>0.8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32575-2022</t>
        </is>
      </c>
      <c r="B4309" s="1" t="n">
        <v>44783</v>
      </c>
      <c r="C4309" s="1" t="n">
        <v>45192</v>
      </c>
      <c r="D4309" t="inlineStr">
        <is>
          <t>ÖSTERGÖTLANDS LÄN</t>
        </is>
      </c>
      <c r="E4309" t="inlineStr">
        <is>
          <t>ÅTVIDABERG</t>
        </is>
      </c>
      <c r="G4309" t="n">
        <v>5.6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32951-2022</t>
        </is>
      </c>
      <c r="B4310" s="1" t="n">
        <v>44784</v>
      </c>
      <c r="C4310" s="1" t="n">
        <v>45192</v>
      </c>
      <c r="D4310" t="inlineStr">
        <is>
          <t>ÖSTERGÖTLANDS LÄN</t>
        </is>
      </c>
      <c r="E4310" t="inlineStr">
        <is>
          <t>ÅTVIDABERG</t>
        </is>
      </c>
      <c r="G4310" t="n">
        <v>3.5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32953-2022</t>
        </is>
      </c>
      <c r="B4311" s="1" t="n">
        <v>44784</v>
      </c>
      <c r="C4311" s="1" t="n">
        <v>45192</v>
      </c>
      <c r="D4311" t="inlineStr">
        <is>
          <t>ÖSTERGÖTLANDS LÄN</t>
        </is>
      </c>
      <c r="E4311" t="inlineStr">
        <is>
          <t>ÅTVIDABERG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33139-2022</t>
        </is>
      </c>
      <c r="B4312" s="1" t="n">
        <v>44785</v>
      </c>
      <c r="C4312" s="1" t="n">
        <v>45192</v>
      </c>
      <c r="D4312" t="inlineStr">
        <is>
          <t>ÖSTERGÖTLANDS LÄN</t>
        </is>
      </c>
      <c r="E4312" t="inlineStr">
        <is>
          <t>LINKÖPING</t>
        </is>
      </c>
      <c r="G4312" t="n">
        <v>0.9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33134-2022</t>
        </is>
      </c>
      <c r="B4313" s="1" t="n">
        <v>44785</v>
      </c>
      <c r="C4313" s="1" t="n">
        <v>45192</v>
      </c>
      <c r="D4313" t="inlineStr">
        <is>
          <t>ÖSTERGÖTLANDS LÄN</t>
        </is>
      </c>
      <c r="E4313" t="inlineStr">
        <is>
          <t>LINKÖPING</t>
        </is>
      </c>
      <c r="G4313" t="n">
        <v>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33604-2022</t>
        </is>
      </c>
      <c r="B4314" s="1" t="n">
        <v>44789</v>
      </c>
      <c r="C4314" s="1" t="n">
        <v>45192</v>
      </c>
      <c r="D4314" t="inlineStr">
        <is>
          <t>ÖSTERGÖTLANDS LÄN</t>
        </is>
      </c>
      <c r="E4314" t="inlineStr">
        <is>
          <t>ÅTVIDABERG</t>
        </is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33711-2022</t>
        </is>
      </c>
      <c r="B4315" s="1" t="n">
        <v>44789</v>
      </c>
      <c r="C4315" s="1" t="n">
        <v>45192</v>
      </c>
      <c r="D4315" t="inlineStr">
        <is>
          <t>ÖSTERGÖTLANDS LÄN</t>
        </is>
      </c>
      <c r="E4315" t="inlineStr">
        <is>
          <t>ÅTVIDABERG</t>
        </is>
      </c>
      <c r="G4315" t="n">
        <v>0.2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33710-2022</t>
        </is>
      </c>
      <c r="B4316" s="1" t="n">
        <v>44789</v>
      </c>
      <c r="C4316" s="1" t="n">
        <v>45192</v>
      </c>
      <c r="D4316" t="inlineStr">
        <is>
          <t>ÖSTERGÖTLANDS LÄN</t>
        </is>
      </c>
      <c r="E4316" t="inlineStr">
        <is>
          <t>ÅTVIDABERG</t>
        </is>
      </c>
      <c r="G4316" t="n">
        <v>0.1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33718-2022</t>
        </is>
      </c>
      <c r="B4317" s="1" t="n">
        <v>44789</v>
      </c>
      <c r="C4317" s="1" t="n">
        <v>45192</v>
      </c>
      <c r="D4317" t="inlineStr">
        <is>
          <t>ÖSTERGÖTLANDS LÄN</t>
        </is>
      </c>
      <c r="E4317" t="inlineStr">
        <is>
          <t>ÅTVIDABERG</t>
        </is>
      </c>
      <c r="G4317" t="n">
        <v>0.3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33680-2022</t>
        </is>
      </c>
      <c r="B4318" s="1" t="n">
        <v>44789</v>
      </c>
      <c r="C4318" s="1" t="n">
        <v>45192</v>
      </c>
      <c r="D4318" t="inlineStr">
        <is>
          <t>ÖSTERGÖTLANDS LÄN</t>
        </is>
      </c>
      <c r="E4318" t="inlineStr">
        <is>
          <t>YDRE</t>
        </is>
      </c>
      <c r="F4318" t="inlineStr">
        <is>
          <t>Sveaskog</t>
        </is>
      </c>
      <c r="G4318" t="n">
        <v>0.6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33714-2022</t>
        </is>
      </c>
      <c r="B4319" s="1" t="n">
        <v>44789</v>
      </c>
      <c r="C4319" s="1" t="n">
        <v>45192</v>
      </c>
      <c r="D4319" t="inlineStr">
        <is>
          <t>ÖSTERGÖTLANDS LÄN</t>
        </is>
      </c>
      <c r="E4319" t="inlineStr">
        <is>
          <t>ÅTVIDABERG</t>
        </is>
      </c>
      <c r="G4319" t="n">
        <v>0.1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33676-2022</t>
        </is>
      </c>
      <c r="B4320" s="1" t="n">
        <v>44789</v>
      </c>
      <c r="C4320" s="1" t="n">
        <v>45192</v>
      </c>
      <c r="D4320" t="inlineStr">
        <is>
          <t>ÖSTERGÖTLANDS LÄN</t>
        </is>
      </c>
      <c r="E4320" t="inlineStr">
        <is>
          <t>YDRE</t>
        </is>
      </c>
      <c r="F4320" t="inlineStr">
        <is>
          <t>Sveaskog</t>
        </is>
      </c>
      <c r="G4320" t="n">
        <v>1.8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34162-2022</t>
        </is>
      </c>
      <c r="B4321" s="1" t="n">
        <v>44791</v>
      </c>
      <c r="C4321" s="1" t="n">
        <v>45192</v>
      </c>
      <c r="D4321" t="inlineStr">
        <is>
          <t>ÖSTERGÖTLANDS LÄN</t>
        </is>
      </c>
      <c r="E4321" t="inlineStr">
        <is>
          <t>LINKÖPING</t>
        </is>
      </c>
      <c r="G4321" t="n">
        <v>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34063-2022</t>
        </is>
      </c>
      <c r="B4322" s="1" t="n">
        <v>44791</v>
      </c>
      <c r="C4322" s="1" t="n">
        <v>45192</v>
      </c>
      <c r="D4322" t="inlineStr">
        <is>
          <t>ÖSTERGÖTLANDS LÄN</t>
        </is>
      </c>
      <c r="E4322" t="inlineStr">
        <is>
          <t>ÅTVIDABERG</t>
        </is>
      </c>
      <c r="G4322" t="n">
        <v>1.4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34109-2022</t>
        </is>
      </c>
      <c r="B4323" s="1" t="n">
        <v>44791</v>
      </c>
      <c r="C4323" s="1" t="n">
        <v>45192</v>
      </c>
      <c r="D4323" t="inlineStr">
        <is>
          <t>ÖSTERGÖTLANDS LÄN</t>
        </is>
      </c>
      <c r="E4323" t="inlineStr">
        <is>
          <t>ÖDESHÖG</t>
        </is>
      </c>
      <c r="G4323" t="n">
        <v>1.9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34426-2022</t>
        </is>
      </c>
      <c r="B4324" s="1" t="n">
        <v>44792</v>
      </c>
      <c r="C4324" s="1" t="n">
        <v>45192</v>
      </c>
      <c r="D4324" t="inlineStr">
        <is>
          <t>ÖSTERGÖTLANDS LÄN</t>
        </is>
      </c>
      <c r="E4324" t="inlineStr">
        <is>
          <t>ÖDESHÖG</t>
        </is>
      </c>
      <c r="G4324" t="n">
        <v>1.6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34605-2022</t>
        </is>
      </c>
      <c r="B4325" s="1" t="n">
        <v>44795</v>
      </c>
      <c r="C4325" s="1" t="n">
        <v>45192</v>
      </c>
      <c r="D4325" t="inlineStr">
        <is>
          <t>ÖSTERGÖTLANDS LÄN</t>
        </is>
      </c>
      <c r="E4325" t="inlineStr">
        <is>
          <t>ÅTVIDABERG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34758-2022</t>
        </is>
      </c>
      <c r="B4326" s="1" t="n">
        <v>44795</v>
      </c>
      <c r="C4326" s="1" t="n">
        <v>45192</v>
      </c>
      <c r="D4326" t="inlineStr">
        <is>
          <t>ÖSTERGÖTLANDS LÄN</t>
        </is>
      </c>
      <c r="E4326" t="inlineStr">
        <is>
          <t>FINSPÅNG</t>
        </is>
      </c>
      <c r="F4326" t="inlineStr">
        <is>
          <t>Övriga Aktiebolag</t>
        </is>
      </c>
      <c r="G4326" t="n">
        <v>2.1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34641-2022</t>
        </is>
      </c>
      <c r="B4327" s="1" t="n">
        <v>44795</v>
      </c>
      <c r="C4327" s="1" t="n">
        <v>45192</v>
      </c>
      <c r="D4327" t="inlineStr">
        <is>
          <t>ÖSTERGÖTLANDS LÄN</t>
        </is>
      </c>
      <c r="E4327" t="inlineStr">
        <is>
          <t>LINKÖPING</t>
        </is>
      </c>
      <c r="G4327" t="n">
        <v>2.4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34730-2022</t>
        </is>
      </c>
      <c r="B4328" s="1" t="n">
        <v>44795</v>
      </c>
      <c r="C4328" s="1" t="n">
        <v>45192</v>
      </c>
      <c r="D4328" t="inlineStr">
        <is>
          <t>ÖSTERGÖTLANDS LÄN</t>
        </is>
      </c>
      <c r="E4328" t="inlineStr">
        <is>
          <t>KINDA</t>
        </is>
      </c>
      <c r="G4328" t="n">
        <v>1.7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34700-2022</t>
        </is>
      </c>
      <c r="B4329" s="1" t="n">
        <v>44795</v>
      </c>
      <c r="C4329" s="1" t="n">
        <v>45192</v>
      </c>
      <c r="D4329" t="inlineStr">
        <is>
          <t>ÖSTERGÖTLANDS LÄN</t>
        </is>
      </c>
      <c r="E4329" t="inlineStr">
        <is>
          <t>ÅTVIDABERG</t>
        </is>
      </c>
      <c r="F4329" t="inlineStr">
        <is>
          <t>Övriga Aktiebolag</t>
        </is>
      </c>
      <c r="G4329" t="n">
        <v>16.1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34776-2022</t>
        </is>
      </c>
      <c r="B4330" s="1" t="n">
        <v>44795</v>
      </c>
      <c r="C4330" s="1" t="n">
        <v>45192</v>
      </c>
      <c r="D4330" t="inlineStr">
        <is>
          <t>ÖSTERGÖTLANDS LÄN</t>
        </is>
      </c>
      <c r="E4330" t="inlineStr">
        <is>
          <t>FINSPÅNG</t>
        </is>
      </c>
      <c r="G4330" t="n">
        <v>1.8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34877-2022</t>
        </is>
      </c>
      <c r="B4331" s="1" t="n">
        <v>44796</v>
      </c>
      <c r="C4331" s="1" t="n">
        <v>45192</v>
      </c>
      <c r="D4331" t="inlineStr">
        <is>
          <t>ÖSTERGÖTLANDS LÄN</t>
        </is>
      </c>
      <c r="E4331" t="inlineStr">
        <is>
          <t>MOTALA</t>
        </is>
      </c>
      <c r="F4331" t="inlineStr">
        <is>
          <t>Övriga statliga verk och myndigheter</t>
        </is>
      </c>
      <c r="G4331" t="n">
        <v>21.3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34996-2022</t>
        </is>
      </c>
      <c r="B4332" s="1" t="n">
        <v>44796</v>
      </c>
      <c r="C4332" s="1" t="n">
        <v>45192</v>
      </c>
      <c r="D4332" t="inlineStr">
        <is>
          <t>ÖSTERGÖTLANDS LÄN</t>
        </is>
      </c>
      <c r="E4332" t="inlineStr">
        <is>
          <t>FINSPÅNG</t>
        </is>
      </c>
      <c r="G4332" t="n">
        <v>0.5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34880-2022</t>
        </is>
      </c>
      <c r="B4333" s="1" t="n">
        <v>44796</v>
      </c>
      <c r="C4333" s="1" t="n">
        <v>45192</v>
      </c>
      <c r="D4333" t="inlineStr">
        <is>
          <t>ÖSTERGÖTLANDS LÄN</t>
        </is>
      </c>
      <c r="E4333" t="inlineStr">
        <is>
          <t>LINKÖPING</t>
        </is>
      </c>
      <c r="F4333" t="inlineStr">
        <is>
          <t>Övriga statliga verk och myndigheter</t>
        </is>
      </c>
      <c r="G4333" t="n">
        <v>4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34917-2022</t>
        </is>
      </c>
      <c r="B4334" s="1" t="n">
        <v>44796</v>
      </c>
      <c r="C4334" s="1" t="n">
        <v>45192</v>
      </c>
      <c r="D4334" t="inlineStr">
        <is>
          <t>ÖSTERGÖTLANDS LÄN</t>
        </is>
      </c>
      <c r="E4334" t="inlineStr">
        <is>
          <t>SÖDERKÖPING</t>
        </is>
      </c>
      <c r="G4334" t="n">
        <v>3.1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34961-2022</t>
        </is>
      </c>
      <c r="B4335" s="1" t="n">
        <v>44796</v>
      </c>
      <c r="C4335" s="1" t="n">
        <v>45192</v>
      </c>
      <c r="D4335" t="inlineStr">
        <is>
          <t>ÖSTERGÖTLANDS LÄN</t>
        </is>
      </c>
      <c r="E4335" t="inlineStr">
        <is>
          <t>ÖDESHÖG</t>
        </is>
      </c>
      <c r="G4335" t="n">
        <v>1.8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34979-2022</t>
        </is>
      </c>
      <c r="B4336" s="1" t="n">
        <v>44796</v>
      </c>
      <c r="C4336" s="1" t="n">
        <v>45192</v>
      </c>
      <c r="D4336" t="inlineStr">
        <is>
          <t>ÖSTERGÖTLANDS LÄN</t>
        </is>
      </c>
      <c r="E4336" t="inlineStr">
        <is>
          <t>ÖDESHÖG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35205-2022</t>
        </is>
      </c>
      <c r="B4337" s="1" t="n">
        <v>44797</v>
      </c>
      <c r="C4337" s="1" t="n">
        <v>45192</v>
      </c>
      <c r="D4337" t="inlineStr">
        <is>
          <t>ÖSTERGÖTLANDS LÄN</t>
        </is>
      </c>
      <c r="E4337" t="inlineStr">
        <is>
          <t>ÅTVIDABERG</t>
        </is>
      </c>
      <c r="G4337" t="n">
        <v>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35326-2022</t>
        </is>
      </c>
      <c r="B4338" s="1" t="n">
        <v>44798</v>
      </c>
      <c r="C4338" s="1" t="n">
        <v>45192</v>
      </c>
      <c r="D4338" t="inlineStr">
        <is>
          <t>ÖSTERGÖTLANDS LÄN</t>
        </is>
      </c>
      <c r="E4338" t="inlineStr">
        <is>
          <t>SÖDERKÖPING</t>
        </is>
      </c>
      <c r="G4338" t="n">
        <v>1.9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35423-2022</t>
        </is>
      </c>
      <c r="B4339" s="1" t="n">
        <v>44798</v>
      </c>
      <c r="C4339" s="1" t="n">
        <v>45192</v>
      </c>
      <c r="D4339" t="inlineStr">
        <is>
          <t>ÖSTERGÖTLANDS LÄN</t>
        </is>
      </c>
      <c r="E4339" t="inlineStr">
        <is>
          <t>SÖDERKÖPING</t>
        </is>
      </c>
      <c r="G4339" t="n">
        <v>2.3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35339-2022</t>
        </is>
      </c>
      <c r="B4340" s="1" t="n">
        <v>44798</v>
      </c>
      <c r="C4340" s="1" t="n">
        <v>45192</v>
      </c>
      <c r="D4340" t="inlineStr">
        <is>
          <t>ÖSTERGÖTLANDS LÄN</t>
        </is>
      </c>
      <c r="E4340" t="inlineStr">
        <is>
          <t>YDRE</t>
        </is>
      </c>
      <c r="G4340" t="n">
        <v>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35366-2022</t>
        </is>
      </c>
      <c r="B4341" s="1" t="n">
        <v>44798</v>
      </c>
      <c r="C4341" s="1" t="n">
        <v>45192</v>
      </c>
      <c r="D4341" t="inlineStr">
        <is>
          <t>ÖSTERGÖTLANDS LÄN</t>
        </is>
      </c>
      <c r="E4341" t="inlineStr">
        <is>
          <t>ÖDESHÖG</t>
        </is>
      </c>
      <c r="G4341" t="n">
        <v>1.8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35443-2022</t>
        </is>
      </c>
      <c r="B4342" s="1" t="n">
        <v>44798</v>
      </c>
      <c r="C4342" s="1" t="n">
        <v>45192</v>
      </c>
      <c r="D4342" t="inlineStr">
        <is>
          <t>ÖSTERGÖTLANDS LÄN</t>
        </is>
      </c>
      <c r="E4342" t="inlineStr">
        <is>
          <t>ÖDESHÖG</t>
        </is>
      </c>
      <c r="G4342" t="n">
        <v>4.7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35651-2022</t>
        </is>
      </c>
      <c r="B4343" s="1" t="n">
        <v>44799</v>
      </c>
      <c r="C4343" s="1" t="n">
        <v>45192</v>
      </c>
      <c r="D4343" t="inlineStr">
        <is>
          <t>ÖSTERGÖTLANDS LÄN</t>
        </is>
      </c>
      <c r="E4343" t="inlineStr">
        <is>
          <t>VALDEMARSVIK</t>
        </is>
      </c>
      <c r="G4343" t="n">
        <v>3.6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35650-2022</t>
        </is>
      </c>
      <c r="B4344" s="1" t="n">
        <v>44799</v>
      </c>
      <c r="C4344" s="1" t="n">
        <v>45192</v>
      </c>
      <c r="D4344" t="inlineStr">
        <is>
          <t>ÖSTERGÖTLANDS LÄN</t>
        </is>
      </c>
      <c r="E4344" t="inlineStr">
        <is>
          <t>KINDA</t>
        </is>
      </c>
      <c r="G4344" t="n">
        <v>1.6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35663-2022</t>
        </is>
      </c>
      <c r="B4345" s="1" t="n">
        <v>44799</v>
      </c>
      <c r="C4345" s="1" t="n">
        <v>45192</v>
      </c>
      <c r="D4345" t="inlineStr">
        <is>
          <t>ÖSTERGÖTLANDS LÄN</t>
        </is>
      </c>
      <c r="E4345" t="inlineStr">
        <is>
          <t>MOTALA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35655-2022</t>
        </is>
      </c>
      <c r="B4346" s="1" t="n">
        <v>44799</v>
      </c>
      <c r="C4346" s="1" t="n">
        <v>45192</v>
      </c>
      <c r="D4346" t="inlineStr">
        <is>
          <t>ÖSTERGÖTLANDS LÄN</t>
        </is>
      </c>
      <c r="E4346" t="inlineStr">
        <is>
          <t>VALDEMARSVIK</t>
        </is>
      </c>
      <c r="G4346" t="n">
        <v>1.7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35810-2022</t>
        </is>
      </c>
      <c r="B4347" s="1" t="n">
        <v>44799</v>
      </c>
      <c r="C4347" s="1" t="n">
        <v>45192</v>
      </c>
      <c r="D4347" t="inlineStr">
        <is>
          <t>ÖSTERGÖTLANDS LÄN</t>
        </is>
      </c>
      <c r="E4347" t="inlineStr">
        <is>
          <t>FINSPÅNG</t>
        </is>
      </c>
      <c r="G4347" t="n">
        <v>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35789-2022</t>
        </is>
      </c>
      <c r="B4348" s="1" t="n">
        <v>44801</v>
      </c>
      <c r="C4348" s="1" t="n">
        <v>45192</v>
      </c>
      <c r="D4348" t="inlineStr">
        <is>
          <t>ÖSTERGÖTLANDS LÄN</t>
        </is>
      </c>
      <c r="E4348" t="inlineStr">
        <is>
          <t>KINDA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36100-2022</t>
        </is>
      </c>
      <c r="B4349" s="1" t="n">
        <v>44802</v>
      </c>
      <c r="C4349" s="1" t="n">
        <v>45192</v>
      </c>
      <c r="D4349" t="inlineStr">
        <is>
          <t>ÖSTERGÖTLANDS LÄN</t>
        </is>
      </c>
      <c r="E4349" t="inlineStr">
        <is>
          <t>FINSPÅNG</t>
        </is>
      </c>
      <c r="G4349" t="n">
        <v>2.3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35864-2022</t>
        </is>
      </c>
      <c r="B4350" s="1" t="n">
        <v>44802</v>
      </c>
      <c r="C4350" s="1" t="n">
        <v>45192</v>
      </c>
      <c r="D4350" t="inlineStr">
        <is>
          <t>ÖSTERGÖTLANDS LÄN</t>
        </is>
      </c>
      <c r="E4350" t="inlineStr">
        <is>
          <t>FINSPÅNG</t>
        </is>
      </c>
      <c r="G4350" t="n">
        <v>9.5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35873-2022</t>
        </is>
      </c>
      <c r="B4351" s="1" t="n">
        <v>44802</v>
      </c>
      <c r="C4351" s="1" t="n">
        <v>45192</v>
      </c>
      <c r="D4351" t="inlineStr">
        <is>
          <t>ÖSTERGÖTLANDS LÄN</t>
        </is>
      </c>
      <c r="E4351" t="inlineStr">
        <is>
          <t>FINSPÅNG</t>
        </is>
      </c>
      <c r="G4351" t="n">
        <v>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36075-2022</t>
        </is>
      </c>
      <c r="B4352" s="1" t="n">
        <v>44802</v>
      </c>
      <c r="C4352" s="1" t="n">
        <v>45192</v>
      </c>
      <c r="D4352" t="inlineStr">
        <is>
          <t>ÖSTERGÖTLANDS LÄN</t>
        </is>
      </c>
      <c r="E4352" t="inlineStr">
        <is>
          <t>FINSPÅNG</t>
        </is>
      </c>
      <c r="G4352" t="n">
        <v>0.4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35847-2022</t>
        </is>
      </c>
      <c r="B4353" s="1" t="n">
        <v>44802</v>
      </c>
      <c r="C4353" s="1" t="n">
        <v>45192</v>
      </c>
      <c r="D4353" t="inlineStr">
        <is>
          <t>ÖSTERGÖTLANDS LÄN</t>
        </is>
      </c>
      <c r="E4353" t="inlineStr">
        <is>
          <t>KINDA</t>
        </is>
      </c>
      <c r="G4353" t="n">
        <v>0.9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36336-2022</t>
        </is>
      </c>
      <c r="B4354" s="1" t="n">
        <v>44803</v>
      </c>
      <c r="C4354" s="1" t="n">
        <v>45192</v>
      </c>
      <c r="D4354" t="inlineStr">
        <is>
          <t>ÖSTERGÖTLANDS LÄN</t>
        </is>
      </c>
      <c r="E4354" t="inlineStr">
        <is>
          <t>LINKÖPING</t>
        </is>
      </c>
      <c r="G4354" t="n">
        <v>1.1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36341-2022</t>
        </is>
      </c>
      <c r="B4355" s="1" t="n">
        <v>44803</v>
      </c>
      <c r="C4355" s="1" t="n">
        <v>45192</v>
      </c>
      <c r="D4355" t="inlineStr">
        <is>
          <t>ÖSTERGÖTLANDS LÄN</t>
        </is>
      </c>
      <c r="E4355" t="inlineStr">
        <is>
          <t>LINKÖPING</t>
        </is>
      </c>
      <c r="G4355" t="n">
        <v>0.5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36573-2022</t>
        </is>
      </c>
      <c r="B4356" s="1" t="n">
        <v>44804</v>
      </c>
      <c r="C4356" s="1" t="n">
        <v>45192</v>
      </c>
      <c r="D4356" t="inlineStr">
        <is>
          <t>ÖSTERGÖTLANDS LÄN</t>
        </is>
      </c>
      <c r="E4356" t="inlineStr">
        <is>
          <t>FINSPÅNG</t>
        </is>
      </c>
      <c r="F4356" t="inlineStr">
        <is>
          <t>Holmen skog AB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36408-2022</t>
        </is>
      </c>
      <c r="B4357" s="1" t="n">
        <v>44804</v>
      </c>
      <c r="C4357" s="1" t="n">
        <v>45192</v>
      </c>
      <c r="D4357" t="inlineStr">
        <is>
          <t>ÖSTERGÖTLANDS LÄN</t>
        </is>
      </c>
      <c r="E4357" t="inlineStr">
        <is>
          <t>NORRKÖPING</t>
        </is>
      </c>
      <c r="G4357" t="n">
        <v>3.2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36589-2022</t>
        </is>
      </c>
      <c r="B4358" s="1" t="n">
        <v>44804</v>
      </c>
      <c r="C4358" s="1" t="n">
        <v>45192</v>
      </c>
      <c r="D4358" t="inlineStr">
        <is>
          <t>ÖSTERGÖTLANDS LÄN</t>
        </is>
      </c>
      <c r="E4358" t="inlineStr">
        <is>
          <t>LINKÖPING</t>
        </is>
      </c>
      <c r="F4358" t="inlineStr">
        <is>
          <t>Allmännings- och besparingsskogar</t>
        </is>
      </c>
      <c r="G4358" t="n">
        <v>13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36725-2022</t>
        </is>
      </c>
      <c r="B4359" s="1" t="n">
        <v>44804</v>
      </c>
      <c r="C4359" s="1" t="n">
        <v>45192</v>
      </c>
      <c r="D4359" t="inlineStr">
        <is>
          <t>ÖSTERGÖTLANDS LÄN</t>
        </is>
      </c>
      <c r="E4359" t="inlineStr">
        <is>
          <t>MOTALA</t>
        </is>
      </c>
      <c r="G4359" t="n">
        <v>4.8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36954-2022</t>
        </is>
      </c>
      <c r="B4360" s="1" t="n">
        <v>44805</v>
      </c>
      <c r="C4360" s="1" t="n">
        <v>45192</v>
      </c>
      <c r="D4360" t="inlineStr">
        <is>
          <t>ÖSTERGÖTLANDS LÄN</t>
        </is>
      </c>
      <c r="E4360" t="inlineStr">
        <is>
          <t>NORRKÖPING</t>
        </is>
      </c>
      <c r="F4360" t="inlineStr">
        <is>
          <t>Allmännings- och besparingsskogar</t>
        </is>
      </c>
      <c r="G4360" t="n">
        <v>3.5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36790-2022</t>
        </is>
      </c>
      <c r="B4361" s="1" t="n">
        <v>44805</v>
      </c>
      <c r="C4361" s="1" t="n">
        <v>45192</v>
      </c>
      <c r="D4361" t="inlineStr">
        <is>
          <t>ÖSTERGÖTLANDS LÄN</t>
        </is>
      </c>
      <c r="E4361" t="inlineStr">
        <is>
          <t>VALDEMARSVIK</t>
        </is>
      </c>
      <c r="G4361" t="n">
        <v>1.8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36734-2022</t>
        </is>
      </c>
      <c r="B4362" s="1" t="n">
        <v>44805</v>
      </c>
      <c r="C4362" s="1" t="n">
        <v>45192</v>
      </c>
      <c r="D4362" t="inlineStr">
        <is>
          <t>ÖSTERGÖTLANDS LÄN</t>
        </is>
      </c>
      <c r="E4362" t="inlineStr">
        <is>
          <t>SÖDERKÖPING</t>
        </is>
      </c>
      <c r="G4362" t="n">
        <v>2.8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36785-2022</t>
        </is>
      </c>
      <c r="B4363" s="1" t="n">
        <v>44805</v>
      </c>
      <c r="C4363" s="1" t="n">
        <v>45192</v>
      </c>
      <c r="D4363" t="inlineStr">
        <is>
          <t>ÖSTERGÖTLANDS LÄN</t>
        </is>
      </c>
      <c r="E4363" t="inlineStr">
        <is>
          <t>VALDEMARSVIK</t>
        </is>
      </c>
      <c r="G4363" t="n">
        <v>4.2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36789-2022</t>
        </is>
      </c>
      <c r="B4364" s="1" t="n">
        <v>44805</v>
      </c>
      <c r="C4364" s="1" t="n">
        <v>45192</v>
      </c>
      <c r="D4364" t="inlineStr">
        <is>
          <t>ÖSTERGÖTLANDS LÄN</t>
        </is>
      </c>
      <c r="E4364" t="inlineStr">
        <is>
          <t>KINDA</t>
        </is>
      </c>
      <c r="G4364" t="n">
        <v>0.9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36887-2022</t>
        </is>
      </c>
      <c r="B4365" s="1" t="n">
        <v>44805</v>
      </c>
      <c r="C4365" s="1" t="n">
        <v>45192</v>
      </c>
      <c r="D4365" t="inlineStr">
        <is>
          <t>ÖSTERGÖTLANDS LÄN</t>
        </is>
      </c>
      <c r="E4365" t="inlineStr">
        <is>
          <t>NORRKÖPING</t>
        </is>
      </c>
      <c r="F4365" t="inlineStr">
        <is>
          <t>Allmännings- och besparingsskogar</t>
        </is>
      </c>
      <c r="G4365" t="n">
        <v>4.9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36972-2022</t>
        </is>
      </c>
      <c r="B4366" s="1" t="n">
        <v>44806</v>
      </c>
      <c r="C4366" s="1" t="n">
        <v>45192</v>
      </c>
      <c r="D4366" t="inlineStr">
        <is>
          <t>ÖSTERGÖTLANDS LÄN</t>
        </is>
      </c>
      <c r="E4366" t="inlineStr">
        <is>
          <t>ÅTVIDABERG</t>
        </is>
      </c>
      <c r="G4366" t="n">
        <v>0.7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36994-2022</t>
        </is>
      </c>
      <c r="B4367" s="1" t="n">
        <v>44806</v>
      </c>
      <c r="C4367" s="1" t="n">
        <v>45192</v>
      </c>
      <c r="D4367" t="inlineStr">
        <is>
          <t>ÖSTERGÖTLANDS LÄN</t>
        </is>
      </c>
      <c r="E4367" t="inlineStr">
        <is>
          <t>FINSPÅNG</t>
        </is>
      </c>
      <c r="F4367" t="inlineStr">
        <is>
          <t>Holmen skog AB</t>
        </is>
      </c>
      <c r="G4367" t="n">
        <v>1.2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37179-2022</t>
        </is>
      </c>
      <c r="B4368" s="1" t="n">
        <v>44806</v>
      </c>
      <c r="C4368" s="1" t="n">
        <v>45192</v>
      </c>
      <c r="D4368" t="inlineStr">
        <is>
          <t>ÖSTERGÖTLANDS LÄN</t>
        </is>
      </c>
      <c r="E4368" t="inlineStr">
        <is>
          <t>ÅTVIDABERG</t>
        </is>
      </c>
      <c r="G4368" t="n">
        <v>1.8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36967-2022</t>
        </is>
      </c>
      <c r="B4369" s="1" t="n">
        <v>44806</v>
      </c>
      <c r="C4369" s="1" t="n">
        <v>45192</v>
      </c>
      <c r="D4369" t="inlineStr">
        <is>
          <t>ÖSTERGÖTLANDS LÄN</t>
        </is>
      </c>
      <c r="E4369" t="inlineStr">
        <is>
          <t>ÅTVIDABERG</t>
        </is>
      </c>
      <c r="G4369" t="n">
        <v>1.1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37465-2022</t>
        </is>
      </c>
      <c r="B4370" s="1" t="n">
        <v>44809</v>
      </c>
      <c r="C4370" s="1" t="n">
        <v>45192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0.9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37473-2022</t>
        </is>
      </c>
      <c r="B4371" s="1" t="n">
        <v>44809</v>
      </c>
      <c r="C4371" s="1" t="n">
        <v>45192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7.5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37496-2022</t>
        </is>
      </c>
      <c r="B4372" s="1" t="n">
        <v>44809</v>
      </c>
      <c r="C4372" s="1" t="n">
        <v>45192</v>
      </c>
      <c r="D4372" t="inlineStr">
        <is>
          <t>ÖSTERGÖTLANDS LÄN</t>
        </is>
      </c>
      <c r="E4372" t="inlineStr">
        <is>
          <t>MOTALA</t>
        </is>
      </c>
      <c r="F4372" t="inlineStr">
        <is>
          <t>Övriga statliga verk och myndigheter</t>
        </is>
      </c>
      <c r="G4372" t="n">
        <v>2.4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37934-2022</t>
        </is>
      </c>
      <c r="B4373" s="1" t="n">
        <v>44809</v>
      </c>
      <c r="C4373" s="1" t="n">
        <v>45192</v>
      </c>
      <c r="D4373" t="inlineStr">
        <is>
          <t>ÖSTERGÖTLANDS LÄN</t>
        </is>
      </c>
      <c r="E4373" t="inlineStr">
        <is>
          <t>LINKÖPING</t>
        </is>
      </c>
      <c r="G4373" t="n">
        <v>1.6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37578-2022</t>
        </is>
      </c>
      <c r="B4374" s="1" t="n">
        <v>44809</v>
      </c>
      <c r="C4374" s="1" t="n">
        <v>45192</v>
      </c>
      <c r="D4374" t="inlineStr">
        <is>
          <t>ÖSTERGÖTLANDS LÄN</t>
        </is>
      </c>
      <c r="E4374" t="inlineStr">
        <is>
          <t>BOXHOLM</t>
        </is>
      </c>
      <c r="G4374" t="n">
        <v>2.4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37477-2022</t>
        </is>
      </c>
      <c r="B4375" s="1" t="n">
        <v>44809</v>
      </c>
      <c r="C4375" s="1" t="n">
        <v>45192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1.1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37715-2022</t>
        </is>
      </c>
      <c r="B4376" s="1" t="n">
        <v>44810</v>
      </c>
      <c r="C4376" s="1" t="n">
        <v>45192</v>
      </c>
      <c r="D4376" t="inlineStr">
        <is>
          <t>ÖSTERGÖTLANDS LÄN</t>
        </is>
      </c>
      <c r="E4376" t="inlineStr">
        <is>
          <t>LINKÖPING</t>
        </is>
      </c>
      <c r="G4376" t="n">
        <v>0.7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37802-2022</t>
        </is>
      </c>
      <c r="B4377" s="1" t="n">
        <v>44810</v>
      </c>
      <c r="C4377" s="1" t="n">
        <v>45192</v>
      </c>
      <c r="D4377" t="inlineStr">
        <is>
          <t>ÖSTERGÖTLANDS LÄN</t>
        </is>
      </c>
      <c r="E4377" t="inlineStr">
        <is>
          <t>MJÖLBY</t>
        </is>
      </c>
      <c r="G4377" t="n">
        <v>4.7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37756-2022</t>
        </is>
      </c>
      <c r="B4378" s="1" t="n">
        <v>44810</v>
      </c>
      <c r="C4378" s="1" t="n">
        <v>45192</v>
      </c>
      <c r="D4378" t="inlineStr">
        <is>
          <t>ÖSTERGÖTLANDS LÄN</t>
        </is>
      </c>
      <c r="E4378" t="inlineStr">
        <is>
          <t>LINKÖPING</t>
        </is>
      </c>
      <c r="G4378" t="n">
        <v>9.800000000000001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37806-2022</t>
        </is>
      </c>
      <c r="B4379" s="1" t="n">
        <v>44810</v>
      </c>
      <c r="C4379" s="1" t="n">
        <v>45192</v>
      </c>
      <c r="D4379" t="inlineStr">
        <is>
          <t>ÖSTERGÖTLANDS LÄN</t>
        </is>
      </c>
      <c r="E4379" t="inlineStr">
        <is>
          <t>MJÖLBY</t>
        </is>
      </c>
      <c r="G4379" t="n">
        <v>1.9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38266-2022</t>
        </is>
      </c>
      <c r="B4380" s="1" t="n">
        <v>44812</v>
      </c>
      <c r="C4380" s="1" t="n">
        <v>45192</v>
      </c>
      <c r="D4380" t="inlineStr">
        <is>
          <t>ÖSTERGÖTLANDS LÄN</t>
        </is>
      </c>
      <c r="E4380" t="inlineStr">
        <is>
          <t>ÖDESHÖG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38235-2022</t>
        </is>
      </c>
      <c r="B4381" s="1" t="n">
        <v>44812</v>
      </c>
      <c r="C4381" s="1" t="n">
        <v>45192</v>
      </c>
      <c r="D4381" t="inlineStr">
        <is>
          <t>ÖSTERGÖTLANDS LÄN</t>
        </is>
      </c>
      <c r="E4381" t="inlineStr">
        <is>
          <t>LINKÖPING</t>
        </is>
      </c>
      <c r="G4381" t="n">
        <v>0.6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38281-2022</t>
        </is>
      </c>
      <c r="B4382" s="1" t="n">
        <v>44812</v>
      </c>
      <c r="C4382" s="1" t="n">
        <v>45192</v>
      </c>
      <c r="D4382" t="inlineStr">
        <is>
          <t>ÖSTERGÖTLANDS LÄN</t>
        </is>
      </c>
      <c r="E4382" t="inlineStr">
        <is>
          <t>ÖDESHÖG</t>
        </is>
      </c>
      <c r="G4382" t="n">
        <v>0.7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38626-2022</t>
        </is>
      </c>
      <c r="B4383" s="1" t="n">
        <v>44813</v>
      </c>
      <c r="C4383" s="1" t="n">
        <v>45192</v>
      </c>
      <c r="D4383" t="inlineStr">
        <is>
          <t>ÖSTERGÖTLANDS LÄN</t>
        </is>
      </c>
      <c r="E4383" t="inlineStr">
        <is>
          <t>NORRKÖPING</t>
        </is>
      </c>
      <c r="F4383" t="inlineStr">
        <is>
          <t>Holmen skog AB</t>
        </is>
      </c>
      <c r="G4383" t="n">
        <v>2.5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38595-2022</t>
        </is>
      </c>
      <c r="B4384" s="1" t="n">
        <v>44813</v>
      </c>
      <c r="C4384" s="1" t="n">
        <v>45192</v>
      </c>
      <c r="D4384" t="inlineStr">
        <is>
          <t>ÖSTERGÖTLANDS LÄN</t>
        </is>
      </c>
      <c r="E4384" t="inlineStr">
        <is>
          <t>SÖDERKÖPING</t>
        </is>
      </c>
      <c r="F4384" t="inlineStr">
        <is>
          <t>Holmen skog AB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38613-2022</t>
        </is>
      </c>
      <c r="B4385" s="1" t="n">
        <v>44813</v>
      </c>
      <c r="C4385" s="1" t="n">
        <v>45192</v>
      </c>
      <c r="D4385" t="inlineStr">
        <is>
          <t>ÖSTERGÖTLANDS LÄN</t>
        </is>
      </c>
      <c r="E4385" t="inlineStr">
        <is>
          <t>FINSPÅNG</t>
        </is>
      </c>
      <c r="F4385" t="inlineStr">
        <is>
          <t>Holmen skog AB</t>
        </is>
      </c>
      <c r="G4385" t="n">
        <v>0.5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38750-2022</t>
        </is>
      </c>
      <c r="B4386" s="1" t="n">
        <v>44816</v>
      </c>
      <c r="C4386" s="1" t="n">
        <v>45192</v>
      </c>
      <c r="D4386" t="inlineStr">
        <is>
          <t>ÖSTERGÖTLANDS LÄN</t>
        </is>
      </c>
      <c r="E4386" t="inlineStr">
        <is>
          <t>ÅTVIDABERG</t>
        </is>
      </c>
      <c r="F4386" t="inlineStr">
        <is>
          <t>Övriga Aktiebolag</t>
        </is>
      </c>
      <c r="G4386" t="n">
        <v>4.9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39072-2022</t>
        </is>
      </c>
      <c r="B4387" s="1" t="n">
        <v>44816</v>
      </c>
      <c r="C4387" s="1" t="n">
        <v>45192</v>
      </c>
      <c r="D4387" t="inlineStr">
        <is>
          <t>ÖSTERGÖTLANDS LÄN</t>
        </is>
      </c>
      <c r="E4387" t="inlineStr">
        <is>
          <t>MOTALA</t>
        </is>
      </c>
      <c r="G4387" t="n">
        <v>2.2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38935-2022</t>
        </is>
      </c>
      <c r="B4388" s="1" t="n">
        <v>44816</v>
      </c>
      <c r="C4388" s="1" t="n">
        <v>45192</v>
      </c>
      <c r="D4388" t="inlineStr">
        <is>
          <t>ÖSTERGÖTLANDS LÄN</t>
        </is>
      </c>
      <c r="E4388" t="inlineStr">
        <is>
          <t>YDRE</t>
        </is>
      </c>
      <c r="G4388" t="n">
        <v>1.2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39085-2022</t>
        </is>
      </c>
      <c r="B4389" s="1" t="n">
        <v>44816</v>
      </c>
      <c r="C4389" s="1" t="n">
        <v>45192</v>
      </c>
      <c r="D4389" t="inlineStr">
        <is>
          <t>ÖSTERGÖTLANDS LÄN</t>
        </is>
      </c>
      <c r="E4389" t="inlineStr">
        <is>
          <t>YDRE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39014-2022</t>
        </is>
      </c>
      <c r="B4390" s="1" t="n">
        <v>44816</v>
      </c>
      <c r="C4390" s="1" t="n">
        <v>45192</v>
      </c>
      <c r="D4390" t="inlineStr">
        <is>
          <t>ÖSTERGÖTLANDS LÄN</t>
        </is>
      </c>
      <c r="E4390" t="inlineStr">
        <is>
          <t>FINSPÅNG</t>
        </is>
      </c>
      <c r="G4390" t="n">
        <v>3.1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38740-2022</t>
        </is>
      </c>
      <c r="B4391" s="1" t="n">
        <v>44816</v>
      </c>
      <c r="C4391" s="1" t="n">
        <v>45192</v>
      </c>
      <c r="D4391" t="inlineStr">
        <is>
          <t>ÖSTERGÖTLANDS LÄN</t>
        </is>
      </c>
      <c r="E4391" t="inlineStr">
        <is>
          <t>ÅTVIDABERG</t>
        </is>
      </c>
      <c r="F4391" t="inlineStr">
        <is>
          <t>Övriga Aktiebolag</t>
        </is>
      </c>
      <c r="G4391" t="n">
        <v>10.9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38844-2022</t>
        </is>
      </c>
      <c r="B4392" s="1" t="n">
        <v>44816</v>
      </c>
      <c r="C4392" s="1" t="n">
        <v>45192</v>
      </c>
      <c r="D4392" t="inlineStr">
        <is>
          <t>ÖSTERGÖTLANDS LÄN</t>
        </is>
      </c>
      <c r="E4392" t="inlineStr">
        <is>
          <t>YDRE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39078-2022</t>
        </is>
      </c>
      <c r="B4393" s="1" t="n">
        <v>44817</v>
      </c>
      <c r="C4393" s="1" t="n">
        <v>45192</v>
      </c>
      <c r="D4393" t="inlineStr">
        <is>
          <t>ÖSTERGÖTLANDS LÄN</t>
        </is>
      </c>
      <c r="E4393" t="inlineStr">
        <is>
          <t>FINSPÅNG</t>
        </is>
      </c>
      <c r="F4393" t="inlineStr">
        <is>
          <t>Holmen skog AB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39356-2022</t>
        </is>
      </c>
      <c r="B4394" s="1" t="n">
        <v>44817</v>
      </c>
      <c r="C4394" s="1" t="n">
        <v>45192</v>
      </c>
      <c r="D4394" t="inlineStr">
        <is>
          <t>ÖSTERGÖTLANDS LÄN</t>
        </is>
      </c>
      <c r="E4394" t="inlineStr">
        <is>
          <t>FINSPÅNG</t>
        </is>
      </c>
      <c r="G4394" t="n">
        <v>2.6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39197-2022</t>
        </is>
      </c>
      <c r="B4395" s="1" t="n">
        <v>44817</v>
      </c>
      <c r="C4395" s="1" t="n">
        <v>45192</v>
      </c>
      <c r="D4395" t="inlineStr">
        <is>
          <t>ÖSTERGÖTLANDS LÄN</t>
        </is>
      </c>
      <c r="E4395" t="inlineStr">
        <is>
          <t>NORRKÖPING</t>
        </is>
      </c>
      <c r="F4395" t="inlineStr">
        <is>
          <t>Holmen skog AB</t>
        </is>
      </c>
      <c r="G4395" t="n">
        <v>0.9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39205-2022</t>
        </is>
      </c>
      <c r="B4396" s="1" t="n">
        <v>44817</v>
      </c>
      <c r="C4396" s="1" t="n">
        <v>45192</v>
      </c>
      <c r="D4396" t="inlineStr">
        <is>
          <t>ÖSTERGÖTLANDS LÄN</t>
        </is>
      </c>
      <c r="E4396" t="inlineStr">
        <is>
          <t>FINSPÅNG</t>
        </is>
      </c>
      <c r="F4396" t="inlineStr">
        <is>
          <t>Holmen skog AB</t>
        </is>
      </c>
      <c r="G4396" t="n">
        <v>1.1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39168-2022</t>
        </is>
      </c>
      <c r="B4397" s="1" t="n">
        <v>44817</v>
      </c>
      <c r="C4397" s="1" t="n">
        <v>45192</v>
      </c>
      <c r="D4397" t="inlineStr">
        <is>
          <t>ÖSTERGÖTLANDS LÄN</t>
        </is>
      </c>
      <c r="E4397" t="inlineStr">
        <is>
          <t>FINSPÅNG</t>
        </is>
      </c>
      <c r="G4397" t="n">
        <v>10.8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40518-2022</t>
        </is>
      </c>
      <c r="B4398" s="1" t="n">
        <v>44819</v>
      </c>
      <c r="C4398" s="1" t="n">
        <v>45192</v>
      </c>
      <c r="D4398" t="inlineStr">
        <is>
          <t>ÖSTERGÖTLANDS LÄN</t>
        </is>
      </c>
      <c r="E4398" t="inlineStr">
        <is>
          <t>MOTALA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39807-2022</t>
        </is>
      </c>
      <c r="B4399" s="1" t="n">
        <v>44819</v>
      </c>
      <c r="C4399" s="1" t="n">
        <v>45192</v>
      </c>
      <c r="D4399" t="inlineStr">
        <is>
          <t>ÖSTERGÖTLANDS LÄN</t>
        </is>
      </c>
      <c r="E4399" t="inlineStr">
        <is>
          <t>BOXHOLM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39917-2022</t>
        </is>
      </c>
      <c r="B4400" s="1" t="n">
        <v>44819</v>
      </c>
      <c r="C4400" s="1" t="n">
        <v>45192</v>
      </c>
      <c r="D4400" t="inlineStr">
        <is>
          <t>ÖSTERGÖTLANDS LÄN</t>
        </is>
      </c>
      <c r="E4400" t="inlineStr">
        <is>
          <t>FINSPÅNG</t>
        </is>
      </c>
      <c r="G4400" t="n">
        <v>0.5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40528-2022</t>
        </is>
      </c>
      <c r="B4401" s="1" t="n">
        <v>44819</v>
      </c>
      <c r="C4401" s="1" t="n">
        <v>45192</v>
      </c>
      <c r="D4401" t="inlineStr">
        <is>
          <t>ÖSTERGÖTLANDS LÄN</t>
        </is>
      </c>
      <c r="E4401" t="inlineStr">
        <is>
          <t>MOTALA</t>
        </is>
      </c>
      <c r="G4401" t="n">
        <v>1.7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40538-2022</t>
        </is>
      </c>
      <c r="B4402" s="1" t="n">
        <v>44819</v>
      </c>
      <c r="C4402" s="1" t="n">
        <v>45192</v>
      </c>
      <c r="D4402" t="inlineStr">
        <is>
          <t>ÖSTERGÖTLANDS LÄN</t>
        </is>
      </c>
      <c r="E4402" t="inlineStr">
        <is>
          <t>MOTALA</t>
        </is>
      </c>
      <c r="G4402" t="n">
        <v>1.8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41257-2022</t>
        </is>
      </c>
      <c r="B4403" s="1" t="n">
        <v>44820</v>
      </c>
      <c r="C4403" s="1" t="n">
        <v>45192</v>
      </c>
      <c r="D4403" t="inlineStr">
        <is>
          <t>ÖSTERGÖTLANDS LÄN</t>
        </is>
      </c>
      <c r="E4403" t="inlineStr">
        <is>
          <t>ÖDESHÖG</t>
        </is>
      </c>
      <c r="G4403" t="n">
        <v>5.1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40002-2022</t>
        </is>
      </c>
      <c r="B4404" s="1" t="n">
        <v>44820</v>
      </c>
      <c r="C4404" s="1" t="n">
        <v>45192</v>
      </c>
      <c r="D4404" t="inlineStr">
        <is>
          <t>ÖSTERGÖTLANDS LÄN</t>
        </is>
      </c>
      <c r="E4404" t="inlineStr">
        <is>
          <t>KINDA</t>
        </is>
      </c>
      <c r="G4404" t="n">
        <v>6.9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40021-2022</t>
        </is>
      </c>
      <c r="B4405" s="1" t="n">
        <v>44820</v>
      </c>
      <c r="C4405" s="1" t="n">
        <v>45192</v>
      </c>
      <c r="D4405" t="inlineStr">
        <is>
          <t>ÖSTERGÖTLANDS LÄN</t>
        </is>
      </c>
      <c r="E4405" t="inlineStr">
        <is>
          <t>FINSPÅNG</t>
        </is>
      </c>
      <c r="F4405" t="inlineStr">
        <is>
          <t>Holmen skog AB</t>
        </is>
      </c>
      <c r="G4405" t="n">
        <v>2.1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39987-2022</t>
        </is>
      </c>
      <c r="B4406" s="1" t="n">
        <v>44820</v>
      </c>
      <c r="C4406" s="1" t="n">
        <v>45192</v>
      </c>
      <c r="D4406" t="inlineStr">
        <is>
          <t>ÖSTERGÖTLANDS LÄN</t>
        </is>
      </c>
      <c r="E4406" t="inlineStr">
        <is>
          <t>NORRKÖPING</t>
        </is>
      </c>
      <c r="G4406" t="n">
        <v>4.7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40070-2022</t>
        </is>
      </c>
      <c r="B4407" s="1" t="n">
        <v>44820</v>
      </c>
      <c r="C4407" s="1" t="n">
        <v>45192</v>
      </c>
      <c r="D4407" t="inlineStr">
        <is>
          <t>ÖSTERGÖTLANDS LÄN</t>
        </is>
      </c>
      <c r="E4407" t="inlineStr">
        <is>
          <t>YDRE</t>
        </is>
      </c>
      <c r="G4407" t="n">
        <v>17.3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40527-2022</t>
        </is>
      </c>
      <c r="B4408" s="1" t="n">
        <v>44823</v>
      </c>
      <c r="C4408" s="1" t="n">
        <v>45192</v>
      </c>
      <c r="D4408" t="inlineStr">
        <is>
          <t>ÖSTERGÖTLANDS LÄN</t>
        </is>
      </c>
      <c r="E4408" t="inlineStr">
        <is>
          <t>LINKÖPING</t>
        </is>
      </c>
      <c r="G4408" t="n">
        <v>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40810-2022</t>
        </is>
      </c>
      <c r="B4409" s="1" t="n">
        <v>44824</v>
      </c>
      <c r="C4409" s="1" t="n">
        <v>45192</v>
      </c>
      <c r="D4409" t="inlineStr">
        <is>
          <t>ÖSTERGÖTLANDS LÄN</t>
        </is>
      </c>
      <c r="E4409" t="inlineStr">
        <is>
          <t>LINKÖPING</t>
        </is>
      </c>
      <c r="G4409" t="n">
        <v>2.8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40776-2022</t>
        </is>
      </c>
      <c r="B4410" s="1" t="n">
        <v>44824</v>
      </c>
      <c r="C4410" s="1" t="n">
        <v>45192</v>
      </c>
      <c r="D4410" t="inlineStr">
        <is>
          <t>ÖSTERGÖTLANDS LÄN</t>
        </is>
      </c>
      <c r="E4410" t="inlineStr">
        <is>
          <t>MOTALA</t>
        </is>
      </c>
      <c r="G4410" t="n">
        <v>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40975-2022</t>
        </is>
      </c>
      <c r="B4411" s="1" t="n">
        <v>44825</v>
      </c>
      <c r="C4411" s="1" t="n">
        <v>45192</v>
      </c>
      <c r="D4411" t="inlineStr">
        <is>
          <t>ÖSTERGÖTLANDS LÄN</t>
        </is>
      </c>
      <c r="E4411" t="inlineStr">
        <is>
          <t>NORRKÖPING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40910-2022</t>
        </is>
      </c>
      <c r="B4412" s="1" t="n">
        <v>44825</v>
      </c>
      <c r="C4412" s="1" t="n">
        <v>45192</v>
      </c>
      <c r="D4412" t="inlineStr">
        <is>
          <t>ÖSTERGÖTLANDS LÄN</t>
        </is>
      </c>
      <c r="E4412" t="inlineStr">
        <is>
          <t>NORRKÖPING</t>
        </is>
      </c>
      <c r="G4412" t="n">
        <v>1.2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41083-2022</t>
        </is>
      </c>
      <c r="B4413" s="1" t="n">
        <v>44825</v>
      </c>
      <c r="C4413" s="1" t="n">
        <v>45192</v>
      </c>
      <c r="D4413" t="inlineStr">
        <is>
          <t>ÖSTERGÖTLANDS LÄN</t>
        </is>
      </c>
      <c r="E4413" t="inlineStr">
        <is>
          <t>NORRKÖPING</t>
        </is>
      </c>
      <c r="G4413" t="n">
        <v>1.9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41223-2022</t>
        </is>
      </c>
      <c r="B4414" s="1" t="n">
        <v>44826</v>
      </c>
      <c r="C4414" s="1" t="n">
        <v>45192</v>
      </c>
      <c r="D4414" t="inlineStr">
        <is>
          <t>ÖSTERGÖTLANDS LÄN</t>
        </is>
      </c>
      <c r="E4414" t="inlineStr">
        <is>
          <t>NORRKÖPING</t>
        </is>
      </c>
      <c r="G4414" t="n">
        <v>2.2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41300-2022</t>
        </is>
      </c>
      <c r="B4415" s="1" t="n">
        <v>44826</v>
      </c>
      <c r="C4415" s="1" t="n">
        <v>45192</v>
      </c>
      <c r="D4415" t="inlineStr">
        <is>
          <t>ÖSTERGÖTLANDS LÄN</t>
        </is>
      </c>
      <c r="E4415" t="inlineStr">
        <is>
          <t>FINSPÅNG</t>
        </is>
      </c>
      <c r="F4415" t="inlineStr">
        <is>
          <t>Holmen skog AB</t>
        </is>
      </c>
      <c r="G4415" t="n">
        <v>1.6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41426-2022</t>
        </is>
      </c>
      <c r="B4416" s="1" t="n">
        <v>44826</v>
      </c>
      <c r="C4416" s="1" t="n">
        <v>45192</v>
      </c>
      <c r="D4416" t="inlineStr">
        <is>
          <t>ÖSTERGÖTLANDS LÄN</t>
        </is>
      </c>
      <c r="E4416" t="inlineStr">
        <is>
          <t>LINKÖPING</t>
        </is>
      </c>
      <c r="G4416" t="n">
        <v>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41364-2022</t>
        </is>
      </c>
      <c r="B4417" s="1" t="n">
        <v>44826</v>
      </c>
      <c r="C4417" s="1" t="n">
        <v>45192</v>
      </c>
      <c r="D4417" t="inlineStr">
        <is>
          <t>ÖSTERGÖTLANDS LÄN</t>
        </is>
      </c>
      <c r="E4417" t="inlineStr">
        <is>
          <t>ÅTVIDABERG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41450-2022</t>
        </is>
      </c>
      <c r="B4418" s="1" t="n">
        <v>44826</v>
      </c>
      <c r="C4418" s="1" t="n">
        <v>45192</v>
      </c>
      <c r="D4418" t="inlineStr">
        <is>
          <t>ÖSTERGÖTLANDS LÄN</t>
        </is>
      </c>
      <c r="E4418" t="inlineStr">
        <is>
          <t>KINDA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41531-2022</t>
        </is>
      </c>
      <c r="B4419" s="1" t="n">
        <v>44827</v>
      </c>
      <c r="C4419" s="1" t="n">
        <v>45192</v>
      </c>
      <c r="D4419" t="inlineStr">
        <is>
          <t>ÖSTERGÖTLANDS LÄN</t>
        </is>
      </c>
      <c r="E4419" t="inlineStr">
        <is>
          <t>YDRE</t>
        </is>
      </c>
      <c r="F4419" t="inlineStr">
        <is>
          <t>Sveaskog</t>
        </is>
      </c>
      <c r="G4419" t="n">
        <v>4.2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41577-2022</t>
        </is>
      </c>
      <c r="B4420" s="1" t="n">
        <v>44827</v>
      </c>
      <c r="C4420" s="1" t="n">
        <v>45192</v>
      </c>
      <c r="D4420" t="inlineStr">
        <is>
          <t>ÖSTERGÖTLANDS LÄN</t>
        </is>
      </c>
      <c r="E4420" t="inlineStr">
        <is>
          <t>ÅTVIDABERG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41679-2022</t>
        </is>
      </c>
      <c r="B4421" s="1" t="n">
        <v>44827</v>
      </c>
      <c r="C4421" s="1" t="n">
        <v>45192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41704-2022</t>
        </is>
      </c>
      <c r="B4422" s="1" t="n">
        <v>44827</v>
      </c>
      <c r="C4422" s="1" t="n">
        <v>45192</v>
      </c>
      <c r="D4422" t="inlineStr">
        <is>
          <t>ÖSTERGÖTLANDS LÄN</t>
        </is>
      </c>
      <c r="E4422" t="inlineStr">
        <is>
          <t>FINSPÅNG</t>
        </is>
      </c>
      <c r="F4422" t="inlineStr">
        <is>
          <t>Holmen skog AB</t>
        </is>
      </c>
      <c r="G4422" t="n">
        <v>2.6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41508-2022</t>
        </is>
      </c>
      <c r="B4423" s="1" t="n">
        <v>44827</v>
      </c>
      <c r="C4423" s="1" t="n">
        <v>45192</v>
      </c>
      <c r="D4423" t="inlineStr">
        <is>
          <t>ÖSTERGÖTLANDS LÄN</t>
        </is>
      </c>
      <c r="E4423" t="inlineStr">
        <is>
          <t>YDRE</t>
        </is>
      </c>
      <c r="F4423" t="inlineStr">
        <is>
          <t>Sveaskog</t>
        </is>
      </c>
      <c r="G4423" t="n">
        <v>0.7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42001-2022</t>
        </is>
      </c>
      <c r="B4424" s="1" t="n">
        <v>44827</v>
      </c>
      <c r="C4424" s="1" t="n">
        <v>45192</v>
      </c>
      <c r="D4424" t="inlineStr">
        <is>
          <t>ÖSTERGÖTLANDS LÄN</t>
        </is>
      </c>
      <c r="E4424" t="inlineStr">
        <is>
          <t>MOTALA</t>
        </is>
      </c>
      <c r="F4424" t="inlineStr">
        <is>
          <t>Övriga statliga verk och myndigheter</t>
        </is>
      </c>
      <c r="G4424" t="n">
        <v>17.5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42029-2022</t>
        </is>
      </c>
      <c r="B4425" s="1" t="n">
        <v>44830</v>
      </c>
      <c r="C4425" s="1" t="n">
        <v>45192</v>
      </c>
      <c r="D4425" t="inlineStr">
        <is>
          <t>ÖSTERGÖTLANDS LÄN</t>
        </is>
      </c>
      <c r="E4425" t="inlineStr">
        <is>
          <t>KINDA</t>
        </is>
      </c>
      <c r="G4425" t="n">
        <v>2.4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42054-2022</t>
        </is>
      </c>
      <c r="B4426" s="1" t="n">
        <v>44830</v>
      </c>
      <c r="C4426" s="1" t="n">
        <v>45192</v>
      </c>
      <c r="D4426" t="inlineStr">
        <is>
          <t>ÖSTERGÖTLANDS LÄN</t>
        </is>
      </c>
      <c r="E4426" t="inlineStr">
        <is>
          <t>LINKÖPING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42401-2022</t>
        </is>
      </c>
      <c r="B4427" s="1" t="n">
        <v>44830</v>
      </c>
      <c r="C4427" s="1" t="n">
        <v>45192</v>
      </c>
      <c r="D4427" t="inlineStr">
        <is>
          <t>ÖSTERGÖTLANDS LÄN</t>
        </is>
      </c>
      <c r="E4427" t="inlineStr">
        <is>
          <t>VALDEMARSVIK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42059-2022</t>
        </is>
      </c>
      <c r="B4428" s="1" t="n">
        <v>44830</v>
      </c>
      <c r="C4428" s="1" t="n">
        <v>45192</v>
      </c>
      <c r="D4428" t="inlineStr">
        <is>
          <t>ÖSTERGÖTLANDS LÄN</t>
        </is>
      </c>
      <c r="E4428" t="inlineStr">
        <is>
          <t>ÅTVIDABERG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41928-2022</t>
        </is>
      </c>
      <c r="B4429" s="1" t="n">
        <v>44830</v>
      </c>
      <c r="C4429" s="1" t="n">
        <v>45192</v>
      </c>
      <c r="D4429" t="inlineStr">
        <is>
          <t>ÖSTERGÖTLANDS LÄN</t>
        </is>
      </c>
      <c r="E4429" t="inlineStr">
        <is>
          <t>MOTALA</t>
        </is>
      </c>
      <c r="F4429" t="inlineStr">
        <is>
          <t>Sveaskog</t>
        </is>
      </c>
      <c r="G4429" t="n">
        <v>1.3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42056-2022</t>
        </is>
      </c>
      <c r="B4430" s="1" t="n">
        <v>44830</v>
      </c>
      <c r="C4430" s="1" t="n">
        <v>45192</v>
      </c>
      <c r="D4430" t="inlineStr">
        <is>
          <t>ÖSTERGÖTLANDS LÄN</t>
        </is>
      </c>
      <c r="E4430" t="inlineStr">
        <is>
          <t>LINKÖPING</t>
        </is>
      </c>
      <c r="G4430" t="n">
        <v>2.5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42332-2022</t>
        </is>
      </c>
      <c r="B4431" s="1" t="n">
        <v>44830</v>
      </c>
      <c r="C4431" s="1" t="n">
        <v>45192</v>
      </c>
      <c r="D4431" t="inlineStr">
        <is>
          <t>ÖSTERGÖTLANDS LÄN</t>
        </is>
      </c>
      <c r="E4431" t="inlineStr">
        <is>
          <t>LINKÖPING</t>
        </is>
      </c>
      <c r="G4431" t="n">
        <v>1.2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42515-2022</t>
        </is>
      </c>
      <c r="B4432" s="1" t="n">
        <v>44831</v>
      </c>
      <c r="C4432" s="1" t="n">
        <v>45192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0.4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42564-2022</t>
        </is>
      </c>
      <c r="B4433" s="1" t="n">
        <v>44831</v>
      </c>
      <c r="C4433" s="1" t="n">
        <v>45192</v>
      </c>
      <c r="D4433" t="inlineStr">
        <is>
          <t>ÖSTERGÖTLANDS LÄN</t>
        </is>
      </c>
      <c r="E4433" t="inlineStr">
        <is>
          <t>FINSPÅNG</t>
        </is>
      </c>
      <c r="F4433" t="inlineStr">
        <is>
          <t>Holmen skog AB</t>
        </is>
      </c>
      <c r="G4433" t="n">
        <v>1.1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42432-2022</t>
        </is>
      </c>
      <c r="B4434" s="1" t="n">
        <v>44831</v>
      </c>
      <c r="C4434" s="1" t="n">
        <v>45192</v>
      </c>
      <c r="D4434" t="inlineStr">
        <is>
          <t>ÖSTERGÖTLANDS LÄN</t>
        </is>
      </c>
      <c r="E4434" t="inlineStr">
        <is>
          <t>SÖDERKÖPING</t>
        </is>
      </c>
      <c r="G4434" t="n">
        <v>5.9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42540-2022</t>
        </is>
      </c>
      <c r="B4435" s="1" t="n">
        <v>44831</v>
      </c>
      <c r="C4435" s="1" t="n">
        <v>45192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42426-2022</t>
        </is>
      </c>
      <c r="B4436" s="1" t="n">
        <v>44831</v>
      </c>
      <c r="C4436" s="1" t="n">
        <v>45192</v>
      </c>
      <c r="D4436" t="inlineStr">
        <is>
          <t>ÖSTERGÖTLANDS LÄN</t>
        </is>
      </c>
      <c r="E4436" t="inlineStr">
        <is>
          <t>SÖDERKÖPING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42609-2022</t>
        </is>
      </c>
      <c r="B4437" s="1" t="n">
        <v>44831</v>
      </c>
      <c r="C4437" s="1" t="n">
        <v>45192</v>
      </c>
      <c r="D4437" t="inlineStr">
        <is>
          <t>ÖSTERGÖTLANDS LÄN</t>
        </is>
      </c>
      <c r="E4437" t="inlineStr">
        <is>
          <t>ÅTVIDABERG</t>
        </is>
      </c>
      <c r="G4437" t="n">
        <v>0.3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42819-2022</t>
        </is>
      </c>
      <c r="B4438" s="1" t="n">
        <v>44832</v>
      </c>
      <c r="C4438" s="1" t="n">
        <v>45192</v>
      </c>
      <c r="D4438" t="inlineStr">
        <is>
          <t>ÖSTERGÖTLANDS LÄN</t>
        </is>
      </c>
      <c r="E4438" t="inlineStr">
        <is>
          <t>MOTALA</t>
        </is>
      </c>
      <c r="G4438" t="n">
        <v>4.7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42670-2022</t>
        </is>
      </c>
      <c r="B4439" s="1" t="n">
        <v>44832</v>
      </c>
      <c r="C4439" s="1" t="n">
        <v>45192</v>
      </c>
      <c r="D4439" t="inlineStr">
        <is>
          <t>ÖSTERGÖTLANDS LÄN</t>
        </is>
      </c>
      <c r="E4439" t="inlineStr">
        <is>
          <t>ÅTVIDABERG</t>
        </is>
      </c>
      <c r="G4439" t="n">
        <v>0.7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43225-2022</t>
        </is>
      </c>
      <c r="B4440" s="1" t="n">
        <v>44833</v>
      </c>
      <c r="C4440" s="1" t="n">
        <v>45192</v>
      </c>
      <c r="D4440" t="inlineStr">
        <is>
          <t>ÖSTERGÖTLANDS LÄN</t>
        </is>
      </c>
      <c r="E4440" t="inlineStr">
        <is>
          <t>VALDEMARSVIK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43051-2022</t>
        </is>
      </c>
      <c r="B4441" s="1" t="n">
        <v>44833</v>
      </c>
      <c r="C4441" s="1" t="n">
        <v>45192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43221-2022</t>
        </is>
      </c>
      <c r="B4442" s="1" t="n">
        <v>44833</v>
      </c>
      <c r="C4442" s="1" t="n">
        <v>45192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43211-2022</t>
        </is>
      </c>
      <c r="B4443" s="1" t="n">
        <v>44833</v>
      </c>
      <c r="C4443" s="1" t="n">
        <v>45192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Övriga Aktiebolag</t>
        </is>
      </c>
      <c r="G4443" t="n">
        <v>2.7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43219-2022</t>
        </is>
      </c>
      <c r="B4444" s="1" t="n">
        <v>44834</v>
      </c>
      <c r="C4444" s="1" t="n">
        <v>45192</v>
      </c>
      <c r="D4444" t="inlineStr">
        <is>
          <t>ÖSTERGÖTLANDS LÄN</t>
        </is>
      </c>
      <c r="E4444" t="inlineStr">
        <is>
          <t>BOXHOLM</t>
        </is>
      </c>
      <c r="G4444" t="n">
        <v>0.6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43312-2022</t>
        </is>
      </c>
      <c r="B4445" s="1" t="n">
        <v>44834</v>
      </c>
      <c r="C4445" s="1" t="n">
        <v>45192</v>
      </c>
      <c r="D4445" t="inlineStr">
        <is>
          <t>ÖSTERGÖTLANDS LÄN</t>
        </is>
      </c>
      <c r="E4445" t="inlineStr">
        <is>
          <t>NORRKÖPING</t>
        </is>
      </c>
      <c r="F4445" t="inlineStr">
        <is>
          <t>Holmen skog AB</t>
        </is>
      </c>
      <c r="G4445" t="n">
        <v>11.1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43318-2022</t>
        </is>
      </c>
      <c r="B4446" s="1" t="n">
        <v>44834</v>
      </c>
      <c r="C4446" s="1" t="n">
        <v>45192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Holmen skog AB</t>
        </is>
      </c>
      <c r="G4446" t="n">
        <v>2.4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43322-2022</t>
        </is>
      </c>
      <c r="B4447" s="1" t="n">
        <v>44834</v>
      </c>
      <c r="C4447" s="1" t="n">
        <v>45192</v>
      </c>
      <c r="D4447" t="inlineStr">
        <is>
          <t>ÖSTERGÖTLANDS LÄN</t>
        </is>
      </c>
      <c r="E4447" t="inlineStr">
        <is>
          <t>NORRKÖPING</t>
        </is>
      </c>
      <c r="F4447" t="inlineStr">
        <is>
          <t>Holmen skog AB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43381-2022</t>
        </is>
      </c>
      <c r="B4448" s="1" t="n">
        <v>44834</v>
      </c>
      <c r="C4448" s="1" t="n">
        <v>45192</v>
      </c>
      <c r="D4448" t="inlineStr">
        <is>
          <t>ÖSTERGÖTLANDS LÄN</t>
        </is>
      </c>
      <c r="E4448" t="inlineStr">
        <is>
          <t>MOTALA</t>
        </is>
      </c>
      <c r="G4448" t="n">
        <v>0.5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43471-2022</t>
        </is>
      </c>
      <c r="B4449" s="1" t="n">
        <v>44836</v>
      </c>
      <c r="C4449" s="1" t="n">
        <v>45192</v>
      </c>
      <c r="D4449" t="inlineStr">
        <is>
          <t>ÖSTERGÖTLANDS LÄN</t>
        </is>
      </c>
      <c r="E4449" t="inlineStr">
        <is>
          <t>BOXHOLM</t>
        </is>
      </c>
      <c r="G4449" t="n">
        <v>1.1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43726-2022</t>
        </is>
      </c>
      <c r="B4450" s="1" t="n">
        <v>44836</v>
      </c>
      <c r="C4450" s="1" t="n">
        <v>45192</v>
      </c>
      <c r="D4450" t="inlineStr">
        <is>
          <t>ÖSTERGÖTLANDS LÄN</t>
        </is>
      </c>
      <c r="E4450" t="inlineStr">
        <is>
          <t>LINKÖPING</t>
        </is>
      </c>
      <c r="G4450" t="n">
        <v>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43832-2022</t>
        </is>
      </c>
      <c r="B4451" s="1" t="n">
        <v>44837</v>
      </c>
      <c r="C4451" s="1" t="n">
        <v>45192</v>
      </c>
      <c r="D4451" t="inlineStr">
        <is>
          <t>ÖSTERGÖTLANDS LÄN</t>
        </is>
      </c>
      <c r="E4451" t="inlineStr">
        <is>
          <t>MOTALA</t>
        </is>
      </c>
      <c r="G4451" t="n">
        <v>3.7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43634-2022</t>
        </is>
      </c>
      <c r="B4452" s="1" t="n">
        <v>44837</v>
      </c>
      <c r="C4452" s="1" t="n">
        <v>45192</v>
      </c>
      <c r="D4452" t="inlineStr">
        <is>
          <t>ÖSTERGÖTLANDS LÄN</t>
        </is>
      </c>
      <c r="E4452" t="inlineStr">
        <is>
          <t>NORRKÖPING</t>
        </is>
      </c>
      <c r="G4452" t="n">
        <v>2.7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44160-2022</t>
        </is>
      </c>
      <c r="B4453" s="1" t="n">
        <v>44837</v>
      </c>
      <c r="C4453" s="1" t="n">
        <v>45192</v>
      </c>
      <c r="D4453" t="inlineStr">
        <is>
          <t>ÖSTERGÖTLANDS LÄN</t>
        </is>
      </c>
      <c r="E4453" t="inlineStr">
        <is>
          <t>KINDA</t>
        </is>
      </c>
      <c r="G4453" t="n">
        <v>0.5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43638-2022</t>
        </is>
      </c>
      <c r="B4454" s="1" t="n">
        <v>44837</v>
      </c>
      <c r="C4454" s="1" t="n">
        <v>45192</v>
      </c>
      <c r="D4454" t="inlineStr">
        <is>
          <t>ÖSTERGÖTLANDS LÄN</t>
        </is>
      </c>
      <c r="E4454" t="inlineStr">
        <is>
          <t>NORRKÖPING</t>
        </is>
      </c>
      <c r="G4454" t="n">
        <v>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43605-2022</t>
        </is>
      </c>
      <c r="B4455" s="1" t="n">
        <v>44837</v>
      </c>
      <c r="C4455" s="1" t="n">
        <v>45192</v>
      </c>
      <c r="D4455" t="inlineStr">
        <is>
          <t>ÖSTERGÖTLANDS LÄN</t>
        </is>
      </c>
      <c r="E4455" t="inlineStr">
        <is>
          <t>NORRKÖPING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43629-2022</t>
        </is>
      </c>
      <c r="B4456" s="1" t="n">
        <v>44837</v>
      </c>
      <c r="C4456" s="1" t="n">
        <v>45192</v>
      </c>
      <c r="D4456" t="inlineStr">
        <is>
          <t>ÖSTERGÖTLANDS LÄN</t>
        </is>
      </c>
      <c r="E4456" t="inlineStr">
        <is>
          <t>NORRKÖPING</t>
        </is>
      </c>
      <c r="G4456" t="n">
        <v>2.5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43640-2022</t>
        </is>
      </c>
      <c r="B4457" s="1" t="n">
        <v>44837</v>
      </c>
      <c r="C4457" s="1" t="n">
        <v>45192</v>
      </c>
      <c r="D4457" t="inlineStr">
        <is>
          <t>ÖSTERGÖTLANDS LÄN</t>
        </is>
      </c>
      <c r="E4457" t="inlineStr">
        <is>
          <t>NORRKÖPING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44256-2022</t>
        </is>
      </c>
      <c r="B4458" s="1" t="n">
        <v>44839</v>
      </c>
      <c r="C4458" s="1" t="n">
        <v>45192</v>
      </c>
      <c r="D4458" t="inlineStr">
        <is>
          <t>ÖSTERGÖTLANDS LÄN</t>
        </is>
      </c>
      <c r="E4458" t="inlineStr">
        <is>
          <t>ÅTVIDABERG</t>
        </is>
      </c>
      <c r="G4458" t="n">
        <v>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44074-2022</t>
        </is>
      </c>
      <c r="B4459" s="1" t="n">
        <v>44839</v>
      </c>
      <c r="C4459" s="1" t="n">
        <v>45192</v>
      </c>
      <c r="D4459" t="inlineStr">
        <is>
          <t>ÖSTERGÖTLANDS LÄN</t>
        </is>
      </c>
      <c r="E4459" t="inlineStr">
        <is>
          <t>BOXHOLM</t>
        </is>
      </c>
      <c r="F4459" t="inlineStr">
        <is>
          <t>Övriga Aktiebolag</t>
        </is>
      </c>
      <c r="G4459" t="n">
        <v>3.5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  <c r="U4459">
        <f>HYPERLINK("https://klasma.github.io/Logging_BOXHOLM/knärot/A 44074-2022.png", "A 44074-2022")</f>
        <v/>
      </c>
      <c r="V4459">
        <f>HYPERLINK("https://klasma.github.io/Logging_BOXHOLM/klagomål/A 44074-2022.docx", "A 44074-2022")</f>
        <v/>
      </c>
      <c r="W4459">
        <f>HYPERLINK("https://klasma.github.io/Logging_BOXHOLM/klagomålsmail/A 44074-2022.docx", "A 44074-2022")</f>
        <v/>
      </c>
      <c r="X4459">
        <f>HYPERLINK("https://klasma.github.io/Logging_BOXHOLM/tillsyn/A 44074-2022.docx", "A 44074-2022")</f>
        <v/>
      </c>
      <c r="Y4459">
        <f>HYPERLINK("https://klasma.github.io/Logging_BOXHOLM/tillsynsmail/A 44074-2022.docx", "A 44074-2022")</f>
        <v/>
      </c>
    </row>
    <row r="4460" ht="15" customHeight="1">
      <c r="A4460" t="inlineStr">
        <is>
          <t>A 44344-2022</t>
        </is>
      </c>
      <c r="B4460" s="1" t="n">
        <v>44839</v>
      </c>
      <c r="C4460" s="1" t="n">
        <v>45192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44571-2022</t>
        </is>
      </c>
      <c r="B4461" s="1" t="n">
        <v>44840</v>
      </c>
      <c r="C4461" s="1" t="n">
        <v>45192</v>
      </c>
      <c r="D4461" t="inlineStr">
        <is>
          <t>ÖSTERGÖTLANDS LÄN</t>
        </is>
      </c>
      <c r="E4461" t="inlineStr">
        <is>
          <t>FINSPÅNG</t>
        </is>
      </c>
      <c r="F4461" t="inlineStr">
        <is>
          <t>Holmen skog AB</t>
        </is>
      </c>
      <c r="G4461" t="n">
        <v>1.6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45154-2022</t>
        </is>
      </c>
      <c r="B4462" s="1" t="n">
        <v>44840</v>
      </c>
      <c r="C4462" s="1" t="n">
        <v>45192</v>
      </c>
      <c r="D4462" t="inlineStr">
        <is>
          <t>ÖSTERGÖTLANDS LÄN</t>
        </is>
      </c>
      <c r="E4462" t="inlineStr">
        <is>
          <t>SÖDERKÖPING</t>
        </is>
      </c>
      <c r="G4462" t="n">
        <v>1.7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45243-2022</t>
        </is>
      </c>
      <c r="B4463" s="1" t="n">
        <v>44840</v>
      </c>
      <c r="C4463" s="1" t="n">
        <v>45192</v>
      </c>
      <c r="D4463" t="inlineStr">
        <is>
          <t>ÖSTERGÖTLANDS LÄN</t>
        </is>
      </c>
      <c r="E4463" t="inlineStr">
        <is>
          <t>FINSPÅNG</t>
        </is>
      </c>
      <c r="G4463" t="n">
        <v>1.8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44652-2022</t>
        </is>
      </c>
      <c r="B4464" s="1" t="n">
        <v>44840</v>
      </c>
      <c r="C4464" s="1" t="n">
        <v>45192</v>
      </c>
      <c r="D4464" t="inlineStr">
        <is>
          <t>ÖSTERGÖTLANDS LÄN</t>
        </is>
      </c>
      <c r="E4464" t="inlineStr">
        <is>
          <t>MJÖLBY</t>
        </is>
      </c>
      <c r="F4464" t="inlineStr">
        <is>
          <t>Kommuner</t>
        </is>
      </c>
      <c r="G4464" t="n">
        <v>0.6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45161-2022</t>
        </is>
      </c>
      <c r="B4465" s="1" t="n">
        <v>44840</v>
      </c>
      <c r="C4465" s="1" t="n">
        <v>45192</v>
      </c>
      <c r="D4465" t="inlineStr">
        <is>
          <t>ÖSTERGÖTLANDS LÄN</t>
        </is>
      </c>
      <c r="E4465" t="inlineStr">
        <is>
          <t>SÖDERKÖPING</t>
        </is>
      </c>
      <c r="G4465" t="n">
        <v>2.5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44898-2022</t>
        </is>
      </c>
      <c r="B4466" s="1" t="n">
        <v>44841</v>
      </c>
      <c r="C4466" s="1" t="n">
        <v>45192</v>
      </c>
      <c r="D4466" t="inlineStr">
        <is>
          <t>ÖSTERGÖTLANDS LÄN</t>
        </is>
      </c>
      <c r="E4466" t="inlineStr">
        <is>
          <t>BOXHOLM</t>
        </is>
      </c>
      <c r="G4466" t="n">
        <v>0.8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44819-2022</t>
        </is>
      </c>
      <c r="B4467" s="1" t="n">
        <v>44841</v>
      </c>
      <c r="C4467" s="1" t="n">
        <v>45192</v>
      </c>
      <c r="D4467" t="inlineStr">
        <is>
          <t>ÖSTERGÖTLANDS LÄN</t>
        </is>
      </c>
      <c r="E4467" t="inlineStr">
        <is>
          <t>ÅTVIDABERG</t>
        </is>
      </c>
      <c r="F4467" t="inlineStr">
        <is>
          <t>Holmen skog AB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44849-2022</t>
        </is>
      </c>
      <c r="B4468" s="1" t="n">
        <v>44841</v>
      </c>
      <c r="C4468" s="1" t="n">
        <v>45192</v>
      </c>
      <c r="D4468" t="inlineStr">
        <is>
          <t>ÖSTERGÖTLANDS LÄN</t>
        </is>
      </c>
      <c r="E4468" t="inlineStr">
        <is>
          <t>LINKÖPING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45130-2022</t>
        </is>
      </c>
      <c r="B4469" s="1" t="n">
        <v>44841</v>
      </c>
      <c r="C4469" s="1" t="n">
        <v>45192</v>
      </c>
      <c r="D4469" t="inlineStr">
        <is>
          <t>ÖSTERGÖTLANDS LÄN</t>
        </is>
      </c>
      <c r="E4469" t="inlineStr">
        <is>
          <t>SÖDERKÖPING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45089-2022</t>
        </is>
      </c>
      <c r="B4470" s="1" t="n">
        <v>44842</v>
      </c>
      <c r="C4470" s="1" t="n">
        <v>45192</v>
      </c>
      <c r="D4470" t="inlineStr">
        <is>
          <t>ÖSTERGÖTLANDS LÄN</t>
        </is>
      </c>
      <c r="E4470" t="inlineStr">
        <is>
          <t>FINSPÅNG</t>
        </is>
      </c>
      <c r="G4470" t="n">
        <v>0.5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45407-2022</t>
        </is>
      </c>
      <c r="B4471" s="1" t="n">
        <v>44844</v>
      </c>
      <c r="C4471" s="1" t="n">
        <v>45192</v>
      </c>
      <c r="D4471" t="inlineStr">
        <is>
          <t>ÖSTERGÖTLANDS LÄN</t>
        </is>
      </c>
      <c r="E4471" t="inlineStr">
        <is>
          <t>FINSPÅNG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45247-2022</t>
        </is>
      </c>
      <c r="B4472" s="1" t="n">
        <v>44844</v>
      </c>
      <c r="C4472" s="1" t="n">
        <v>45192</v>
      </c>
      <c r="D4472" t="inlineStr">
        <is>
          <t>ÖSTERGÖTLANDS LÄN</t>
        </is>
      </c>
      <c r="E4472" t="inlineStr">
        <is>
          <t>FINSPÅNG</t>
        </is>
      </c>
      <c r="F4472" t="inlineStr">
        <is>
          <t>Holmen skog AB</t>
        </is>
      </c>
      <c r="G4472" t="n">
        <v>0.8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45411-2022</t>
        </is>
      </c>
      <c r="B4473" s="1" t="n">
        <v>44844</v>
      </c>
      <c r="C4473" s="1" t="n">
        <v>45192</v>
      </c>
      <c r="D4473" t="inlineStr">
        <is>
          <t>ÖSTERGÖTLANDS LÄN</t>
        </is>
      </c>
      <c r="E4473" t="inlineStr">
        <is>
          <t>FINSPÅNG</t>
        </is>
      </c>
      <c r="G4473" t="n">
        <v>1.9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45203-2022</t>
        </is>
      </c>
      <c r="B4474" s="1" t="n">
        <v>44844</v>
      </c>
      <c r="C4474" s="1" t="n">
        <v>45192</v>
      </c>
      <c r="D4474" t="inlineStr">
        <is>
          <t>ÖSTERGÖTLANDS LÄN</t>
        </is>
      </c>
      <c r="E4474" t="inlineStr">
        <is>
          <t>FINSPÅNG</t>
        </is>
      </c>
      <c r="G4474" t="n">
        <v>1.1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45410-2022</t>
        </is>
      </c>
      <c r="B4475" s="1" t="n">
        <v>44844</v>
      </c>
      <c r="C4475" s="1" t="n">
        <v>45192</v>
      </c>
      <c r="D4475" t="inlineStr">
        <is>
          <t>ÖSTERGÖTLANDS LÄN</t>
        </is>
      </c>
      <c r="E4475" t="inlineStr">
        <is>
          <t>FINSPÅNG</t>
        </is>
      </c>
      <c r="G4475" t="n">
        <v>16.6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45446-2022</t>
        </is>
      </c>
      <c r="B4476" s="1" t="n">
        <v>44845</v>
      </c>
      <c r="C4476" s="1" t="n">
        <v>45192</v>
      </c>
      <c r="D4476" t="inlineStr">
        <is>
          <t>ÖSTERGÖTLANDS LÄN</t>
        </is>
      </c>
      <c r="E4476" t="inlineStr">
        <is>
          <t>LINKÖPING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45448-2022</t>
        </is>
      </c>
      <c r="B4477" s="1" t="n">
        <v>44845</v>
      </c>
      <c r="C4477" s="1" t="n">
        <v>45192</v>
      </c>
      <c r="D4477" t="inlineStr">
        <is>
          <t>ÖSTERGÖTLANDS LÄN</t>
        </is>
      </c>
      <c r="E4477" t="inlineStr">
        <is>
          <t>LINKÖPING</t>
        </is>
      </c>
      <c r="G4477" t="n">
        <v>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45996-2022</t>
        </is>
      </c>
      <c r="B4478" s="1" t="n">
        <v>44846</v>
      </c>
      <c r="C4478" s="1" t="n">
        <v>45192</v>
      </c>
      <c r="D4478" t="inlineStr">
        <is>
          <t>ÖSTERGÖTLANDS LÄN</t>
        </is>
      </c>
      <c r="E4478" t="inlineStr">
        <is>
          <t>ÅTVIDABERG</t>
        </is>
      </c>
      <c r="G4478" t="n">
        <v>0.8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45877-2022</t>
        </is>
      </c>
      <c r="B4479" s="1" t="n">
        <v>44846</v>
      </c>
      <c r="C4479" s="1" t="n">
        <v>45192</v>
      </c>
      <c r="D4479" t="inlineStr">
        <is>
          <t>ÖSTERGÖTLANDS LÄN</t>
        </is>
      </c>
      <c r="E4479" t="inlineStr">
        <is>
          <t>BOXHOLM</t>
        </is>
      </c>
      <c r="G4479" t="n">
        <v>0.5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46234-2022</t>
        </is>
      </c>
      <c r="B4480" s="1" t="n">
        <v>44846</v>
      </c>
      <c r="C4480" s="1" t="n">
        <v>45192</v>
      </c>
      <c r="D4480" t="inlineStr">
        <is>
          <t>ÖSTERGÖTLANDS LÄN</t>
        </is>
      </c>
      <c r="E4480" t="inlineStr">
        <is>
          <t>LINKÖPING</t>
        </is>
      </c>
      <c r="G4480" t="n">
        <v>3.3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46210-2022</t>
        </is>
      </c>
      <c r="B4481" s="1" t="n">
        <v>44846</v>
      </c>
      <c r="C4481" s="1" t="n">
        <v>45192</v>
      </c>
      <c r="D4481" t="inlineStr">
        <is>
          <t>ÖSTERGÖTLANDS LÄN</t>
        </is>
      </c>
      <c r="E4481" t="inlineStr">
        <is>
          <t>MOTALA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45871-2022</t>
        </is>
      </c>
      <c r="B4482" s="1" t="n">
        <v>44846</v>
      </c>
      <c r="C4482" s="1" t="n">
        <v>45192</v>
      </c>
      <c r="D4482" t="inlineStr">
        <is>
          <t>ÖSTERGÖTLANDS LÄN</t>
        </is>
      </c>
      <c r="E4482" t="inlineStr">
        <is>
          <t>KINDA</t>
        </is>
      </c>
      <c r="G4482" t="n">
        <v>1.6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46260-2022</t>
        </is>
      </c>
      <c r="B4483" s="1" t="n">
        <v>44847</v>
      </c>
      <c r="C4483" s="1" t="n">
        <v>45192</v>
      </c>
      <c r="D4483" t="inlineStr">
        <is>
          <t>ÖSTERGÖTLANDS LÄN</t>
        </is>
      </c>
      <c r="E4483" t="inlineStr">
        <is>
          <t>ÅTVIDABERG</t>
        </is>
      </c>
      <c r="F4483" t="inlineStr">
        <is>
          <t>Holmen skog AB</t>
        </is>
      </c>
      <c r="G4483" t="n">
        <v>1.2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46490-2022</t>
        </is>
      </c>
      <c r="B4484" s="1" t="n">
        <v>44848</v>
      </c>
      <c r="C4484" s="1" t="n">
        <v>45192</v>
      </c>
      <c r="D4484" t="inlineStr">
        <is>
          <t>ÖSTERGÖTLANDS LÄN</t>
        </is>
      </c>
      <c r="E4484" t="inlineStr">
        <is>
          <t>LINKÖPING</t>
        </is>
      </c>
      <c r="G4484" t="n">
        <v>3.5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46757-2022</t>
        </is>
      </c>
      <c r="B4485" s="1" t="n">
        <v>44851</v>
      </c>
      <c r="C4485" s="1" t="n">
        <v>45192</v>
      </c>
      <c r="D4485" t="inlineStr">
        <is>
          <t>ÖSTERGÖTLANDS LÄN</t>
        </is>
      </c>
      <c r="E4485" t="inlineStr">
        <is>
          <t>KINDA</t>
        </is>
      </c>
      <c r="G4485" t="n">
        <v>1.8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46858-2022</t>
        </is>
      </c>
      <c r="B4486" s="1" t="n">
        <v>44851</v>
      </c>
      <c r="C4486" s="1" t="n">
        <v>45192</v>
      </c>
      <c r="D4486" t="inlineStr">
        <is>
          <t>ÖSTERGÖTLANDS LÄN</t>
        </is>
      </c>
      <c r="E4486" t="inlineStr">
        <is>
          <t>MOTALA</t>
        </is>
      </c>
      <c r="G4486" t="n">
        <v>1.9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46788-2022</t>
        </is>
      </c>
      <c r="B4487" s="1" t="n">
        <v>44851</v>
      </c>
      <c r="C4487" s="1" t="n">
        <v>45192</v>
      </c>
      <c r="D4487" t="inlineStr">
        <is>
          <t>ÖSTERGÖTLANDS LÄN</t>
        </is>
      </c>
      <c r="E4487" t="inlineStr">
        <is>
          <t>ÅTVIDABERG</t>
        </is>
      </c>
      <c r="G4487" t="n">
        <v>4.8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46903-2022</t>
        </is>
      </c>
      <c r="B4488" s="1" t="n">
        <v>44851</v>
      </c>
      <c r="C4488" s="1" t="n">
        <v>45192</v>
      </c>
      <c r="D4488" t="inlineStr">
        <is>
          <t>ÖSTERGÖTLANDS LÄN</t>
        </is>
      </c>
      <c r="E4488" t="inlineStr">
        <is>
          <t>ÅTVIDABERG</t>
        </is>
      </c>
      <c r="G4488" t="n">
        <v>0.8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46748-2022</t>
        </is>
      </c>
      <c r="B4489" s="1" t="n">
        <v>44851</v>
      </c>
      <c r="C4489" s="1" t="n">
        <v>45192</v>
      </c>
      <c r="D4489" t="inlineStr">
        <is>
          <t>ÖSTERGÖTLANDS LÄN</t>
        </is>
      </c>
      <c r="E4489" t="inlineStr">
        <is>
          <t>ÅTVIDABERG</t>
        </is>
      </c>
      <c r="G4489" t="n">
        <v>1.4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46908-2022</t>
        </is>
      </c>
      <c r="B4490" s="1" t="n">
        <v>44851</v>
      </c>
      <c r="C4490" s="1" t="n">
        <v>45192</v>
      </c>
      <c r="D4490" t="inlineStr">
        <is>
          <t>ÖSTERGÖTLANDS LÄN</t>
        </is>
      </c>
      <c r="E4490" t="inlineStr">
        <is>
          <t>KINDA</t>
        </is>
      </c>
      <c r="G4490" t="n">
        <v>1.8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46738-2022</t>
        </is>
      </c>
      <c r="B4491" s="1" t="n">
        <v>44851</v>
      </c>
      <c r="C4491" s="1" t="n">
        <v>45192</v>
      </c>
      <c r="D4491" t="inlineStr">
        <is>
          <t>ÖSTERGÖTLANDS LÄN</t>
        </is>
      </c>
      <c r="E4491" t="inlineStr">
        <is>
          <t>NORRKÖPING</t>
        </is>
      </c>
      <c r="G4491" t="n">
        <v>3.7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46793-2022</t>
        </is>
      </c>
      <c r="B4492" s="1" t="n">
        <v>44851</v>
      </c>
      <c r="C4492" s="1" t="n">
        <v>45192</v>
      </c>
      <c r="D4492" t="inlineStr">
        <is>
          <t>ÖSTERGÖTLANDS LÄN</t>
        </is>
      </c>
      <c r="E4492" t="inlineStr">
        <is>
          <t>ÅTVIDABERG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47027-2022</t>
        </is>
      </c>
      <c r="B4493" s="1" t="n">
        <v>44852</v>
      </c>
      <c r="C4493" s="1" t="n">
        <v>45192</v>
      </c>
      <c r="D4493" t="inlineStr">
        <is>
          <t>ÖSTERGÖTLANDS LÄN</t>
        </is>
      </c>
      <c r="E4493" t="inlineStr">
        <is>
          <t>LINKÖPING</t>
        </is>
      </c>
      <c r="G4493" t="n">
        <v>5.9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47145-2022</t>
        </is>
      </c>
      <c r="B4494" s="1" t="n">
        <v>44852</v>
      </c>
      <c r="C4494" s="1" t="n">
        <v>45192</v>
      </c>
      <c r="D4494" t="inlineStr">
        <is>
          <t>ÖSTERGÖTLANDS LÄN</t>
        </is>
      </c>
      <c r="E4494" t="inlineStr">
        <is>
          <t>BOXHOLM</t>
        </is>
      </c>
      <c r="G4494" t="n">
        <v>1.2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47219-2022</t>
        </is>
      </c>
      <c r="B4495" s="1" t="n">
        <v>44852</v>
      </c>
      <c r="C4495" s="1" t="n">
        <v>45192</v>
      </c>
      <c r="D4495" t="inlineStr">
        <is>
          <t>ÖSTERGÖTLANDS LÄN</t>
        </is>
      </c>
      <c r="E4495" t="inlineStr">
        <is>
          <t>VALDEMARSVIK</t>
        </is>
      </c>
      <c r="G4495" t="n">
        <v>0.8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47632-2022</t>
        </is>
      </c>
      <c r="B4496" s="1" t="n">
        <v>44852</v>
      </c>
      <c r="C4496" s="1" t="n">
        <v>45192</v>
      </c>
      <c r="D4496" t="inlineStr">
        <is>
          <t>ÖSTERGÖTLANDS LÄN</t>
        </is>
      </c>
      <c r="E4496" t="inlineStr">
        <is>
          <t>VALDEMARSVIK</t>
        </is>
      </c>
      <c r="G4496" t="n">
        <v>4.8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47042-2022</t>
        </is>
      </c>
      <c r="B4497" s="1" t="n">
        <v>44852</v>
      </c>
      <c r="C4497" s="1" t="n">
        <v>45192</v>
      </c>
      <c r="D4497" t="inlineStr">
        <is>
          <t>ÖSTERGÖTLANDS LÄN</t>
        </is>
      </c>
      <c r="E4497" t="inlineStr">
        <is>
          <t>NORRKÖPING</t>
        </is>
      </c>
      <c r="F4497" t="inlineStr">
        <is>
          <t>Holmen skog AB</t>
        </is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47051-2022</t>
        </is>
      </c>
      <c r="B4498" s="1" t="n">
        <v>44852</v>
      </c>
      <c r="C4498" s="1" t="n">
        <v>45192</v>
      </c>
      <c r="D4498" t="inlineStr">
        <is>
          <t>ÖSTERGÖTLANDS LÄN</t>
        </is>
      </c>
      <c r="E4498" t="inlineStr">
        <is>
          <t>KINDA</t>
        </is>
      </c>
      <c r="G4498" t="n">
        <v>0.5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47114-2022</t>
        </is>
      </c>
      <c r="B4499" s="1" t="n">
        <v>44852</v>
      </c>
      <c r="C4499" s="1" t="n">
        <v>45192</v>
      </c>
      <c r="D4499" t="inlineStr">
        <is>
          <t>ÖSTERGÖTLANDS LÄN</t>
        </is>
      </c>
      <c r="E4499" t="inlineStr">
        <is>
          <t>FINSPÅNG</t>
        </is>
      </c>
      <c r="F4499" t="inlineStr">
        <is>
          <t>Holmen skog AB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47056-2022</t>
        </is>
      </c>
      <c r="B4500" s="1" t="n">
        <v>44852</v>
      </c>
      <c r="C4500" s="1" t="n">
        <v>45192</v>
      </c>
      <c r="D4500" t="inlineStr">
        <is>
          <t>ÖSTERGÖTLANDS LÄN</t>
        </is>
      </c>
      <c r="E4500" t="inlineStr">
        <is>
          <t>KINDA</t>
        </is>
      </c>
      <c r="G4500" t="n">
        <v>1.5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47144-2022</t>
        </is>
      </c>
      <c r="B4501" s="1" t="n">
        <v>44852</v>
      </c>
      <c r="C4501" s="1" t="n">
        <v>45192</v>
      </c>
      <c r="D4501" t="inlineStr">
        <is>
          <t>ÖSTERGÖTLANDS LÄN</t>
        </is>
      </c>
      <c r="E4501" t="inlineStr">
        <is>
          <t>BOXHOLM</t>
        </is>
      </c>
      <c r="G4501" t="n">
        <v>0.8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47510-2022</t>
        </is>
      </c>
      <c r="B4502" s="1" t="n">
        <v>44853</v>
      </c>
      <c r="C4502" s="1" t="n">
        <v>45192</v>
      </c>
      <c r="D4502" t="inlineStr">
        <is>
          <t>ÖSTERGÖTLANDS LÄN</t>
        </is>
      </c>
      <c r="E4502" t="inlineStr">
        <is>
          <t>MOTALA</t>
        </is>
      </c>
      <c r="F4502" t="inlineStr">
        <is>
          <t>Övriga statliga verk och myndigheter</t>
        </is>
      </c>
      <c r="G4502" t="n">
        <v>11.3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48421-2022</t>
        </is>
      </c>
      <c r="B4503" s="1" t="n">
        <v>44854</v>
      </c>
      <c r="C4503" s="1" t="n">
        <v>45192</v>
      </c>
      <c r="D4503" t="inlineStr">
        <is>
          <t>ÖSTERGÖTLANDS LÄN</t>
        </is>
      </c>
      <c r="E4503" t="inlineStr">
        <is>
          <t>VALDEMARSVIK</t>
        </is>
      </c>
      <c r="G4503" t="n">
        <v>1.3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48409-2022</t>
        </is>
      </c>
      <c r="B4504" s="1" t="n">
        <v>44854</v>
      </c>
      <c r="C4504" s="1" t="n">
        <v>45192</v>
      </c>
      <c r="D4504" t="inlineStr">
        <is>
          <t>ÖSTERGÖTLANDS LÄN</t>
        </is>
      </c>
      <c r="E4504" t="inlineStr">
        <is>
          <t>VALDEMARSVIK</t>
        </is>
      </c>
      <c r="G4504" t="n">
        <v>1.5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47680-2022</t>
        </is>
      </c>
      <c r="B4505" s="1" t="n">
        <v>44854</v>
      </c>
      <c r="C4505" s="1" t="n">
        <v>45192</v>
      </c>
      <c r="D4505" t="inlineStr">
        <is>
          <t>ÖSTERGÖTLANDS LÄN</t>
        </is>
      </c>
      <c r="E4505" t="inlineStr">
        <is>
          <t>KINDA</t>
        </is>
      </c>
      <c r="G4505" t="n">
        <v>7.1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48428-2022</t>
        </is>
      </c>
      <c r="B4506" s="1" t="n">
        <v>44854</v>
      </c>
      <c r="C4506" s="1" t="n">
        <v>45192</v>
      </c>
      <c r="D4506" t="inlineStr">
        <is>
          <t>ÖSTERGÖTLANDS LÄN</t>
        </is>
      </c>
      <c r="E4506" t="inlineStr">
        <is>
          <t>VALDEMARSVIK</t>
        </is>
      </c>
      <c r="G4506" t="n">
        <v>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48042-2022</t>
        </is>
      </c>
      <c r="B4507" s="1" t="n">
        <v>44855</v>
      </c>
      <c r="C4507" s="1" t="n">
        <v>45192</v>
      </c>
      <c r="D4507" t="inlineStr">
        <is>
          <t>ÖSTERGÖTLANDS LÄN</t>
        </is>
      </c>
      <c r="E4507" t="inlineStr">
        <is>
          <t>LINKÖPING</t>
        </is>
      </c>
      <c r="G4507" t="n">
        <v>0.5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47872-2022</t>
        </is>
      </c>
      <c r="B4508" s="1" t="n">
        <v>44855</v>
      </c>
      <c r="C4508" s="1" t="n">
        <v>45192</v>
      </c>
      <c r="D4508" t="inlineStr">
        <is>
          <t>ÖSTERGÖTLANDS LÄN</t>
        </is>
      </c>
      <c r="E4508" t="inlineStr">
        <is>
          <t>LINKÖPING</t>
        </is>
      </c>
      <c r="G4508" t="n">
        <v>2.2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48829-2022</t>
        </is>
      </c>
      <c r="B4509" s="1" t="n">
        <v>44855</v>
      </c>
      <c r="C4509" s="1" t="n">
        <v>45192</v>
      </c>
      <c r="D4509" t="inlineStr">
        <is>
          <t>ÖSTERGÖTLANDS LÄN</t>
        </is>
      </c>
      <c r="E4509" t="inlineStr">
        <is>
          <t>SÖDERKÖPING</t>
        </is>
      </c>
      <c r="G4509" t="n">
        <v>3.1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49018-2022</t>
        </is>
      </c>
      <c r="B4510" s="1" t="n">
        <v>44855</v>
      </c>
      <c r="C4510" s="1" t="n">
        <v>45192</v>
      </c>
      <c r="D4510" t="inlineStr">
        <is>
          <t>ÖSTERGÖTLANDS LÄN</t>
        </is>
      </c>
      <c r="E4510" t="inlineStr">
        <is>
          <t>LINKÖPING</t>
        </is>
      </c>
      <c r="F4510" t="inlineStr">
        <is>
          <t>Kommuner</t>
        </is>
      </c>
      <c r="G4510" t="n">
        <v>0.4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47832-2022</t>
        </is>
      </c>
      <c r="B4511" s="1" t="n">
        <v>44855</v>
      </c>
      <c r="C4511" s="1" t="n">
        <v>45192</v>
      </c>
      <c r="D4511" t="inlineStr">
        <is>
          <t>ÖSTERGÖTLANDS LÄN</t>
        </is>
      </c>
      <c r="E4511" t="inlineStr">
        <is>
          <t>ÅTVIDABERG</t>
        </is>
      </c>
      <c r="G4511" t="n">
        <v>2.2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47899-2022</t>
        </is>
      </c>
      <c r="B4512" s="1" t="n">
        <v>44855</v>
      </c>
      <c r="C4512" s="1" t="n">
        <v>45192</v>
      </c>
      <c r="D4512" t="inlineStr">
        <is>
          <t>ÖSTERGÖTLANDS LÄN</t>
        </is>
      </c>
      <c r="E4512" t="inlineStr">
        <is>
          <t>FINSPÅNG</t>
        </is>
      </c>
      <c r="F4512" t="inlineStr">
        <is>
          <t>Holmen skog AB</t>
        </is>
      </c>
      <c r="G4512" t="n">
        <v>2.5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48796-2022</t>
        </is>
      </c>
      <c r="B4513" s="1" t="n">
        <v>44855</v>
      </c>
      <c r="C4513" s="1" t="n">
        <v>45192</v>
      </c>
      <c r="D4513" t="inlineStr">
        <is>
          <t>ÖSTERGÖTLANDS LÄN</t>
        </is>
      </c>
      <c r="E4513" t="inlineStr">
        <is>
          <t>SÖDERKÖPING</t>
        </is>
      </c>
      <c r="G4513" t="n">
        <v>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48106-2022</t>
        </is>
      </c>
      <c r="B4514" s="1" t="n">
        <v>44856</v>
      </c>
      <c r="C4514" s="1" t="n">
        <v>45192</v>
      </c>
      <c r="D4514" t="inlineStr">
        <is>
          <t>ÖSTERGÖTLANDS LÄN</t>
        </is>
      </c>
      <c r="E4514" t="inlineStr">
        <is>
          <t>FINSPÅNG</t>
        </is>
      </c>
      <c r="G4514" t="n">
        <v>0.4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48462-2022</t>
        </is>
      </c>
      <c r="B4515" s="1" t="n">
        <v>44858</v>
      </c>
      <c r="C4515" s="1" t="n">
        <v>45192</v>
      </c>
      <c r="D4515" t="inlineStr">
        <is>
          <t>ÖSTERGÖTLANDS LÄN</t>
        </is>
      </c>
      <c r="E4515" t="inlineStr">
        <is>
          <t>NORRKÖPING</t>
        </is>
      </c>
      <c r="F4515" t="inlineStr">
        <is>
          <t>Holmen skog AB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48164-2022</t>
        </is>
      </c>
      <c r="B4516" s="1" t="n">
        <v>44858</v>
      </c>
      <c r="C4516" s="1" t="n">
        <v>45192</v>
      </c>
      <c r="D4516" t="inlineStr">
        <is>
          <t>ÖSTERGÖTLANDS LÄN</t>
        </is>
      </c>
      <c r="E4516" t="inlineStr">
        <is>
          <t>MOTALA</t>
        </is>
      </c>
      <c r="F4516" t="inlineStr">
        <is>
          <t>Allmännings- och besparingsskogar</t>
        </is>
      </c>
      <c r="G4516" t="n">
        <v>3.2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48186-2022</t>
        </is>
      </c>
      <c r="B4517" s="1" t="n">
        <v>44858</v>
      </c>
      <c r="C4517" s="1" t="n">
        <v>45192</v>
      </c>
      <c r="D4517" t="inlineStr">
        <is>
          <t>ÖSTERGÖTLANDS LÄN</t>
        </is>
      </c>
      <c r="E4517" t="inlineStr">
        <is>
          <t>LINKÖPING</t>
        </is>
      </c>
      <c r="G4517" t="n">
        <v>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48325-2022</t>
        </is>
      </c>
      <c r="B4518" s="1" t="n">
        <v>44858</v>
      </c>
      <c r="C4518" s="1" t="n">
        <v>45192</v>
      </c>
      <c r="D4518" t="inlineStr">
        <is>
          <t>ÖSTERGÖTLANDS LÄN</t>
        </is>
      </c>
      <c r="E4518" t="inlineStr">
        <is>
          <t>ÖDESHÖG</t>
        </is>
      </c>
      <c r="F4518" t="inlineStr">
        <is>
          <t>Allmännings- och besparingsskogar</t>
        </is>
      </c>
      <c r="G4518" t="n">
        <v>1.8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48344-2022</t>
        </is>
      </c>
      <c r="B4519" s="1" t="n">
        <v>44858</v>
      </c>
      <c r="C4519" s="1" t="n">
        <v>45192</v>
      </c>
      <c r="D4519" t="inlineStr">
        <is>
          <t>ÖSTERGÖTLANDS LÄN</t>
        </is>
      </c>
      <c r="E4519" t="inlineStr">
        <is>
          <t>YDRE</t>
        </is>
      </c>
      <c r="F4519" t="inlineStr">
        <is>
          <t>Övriga Aktiebolag</t>
        </is>
      </c>
      <c r="G4519" t="n">
        <v>7.6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48373-2022</t>
        </is>
      </c>
      <c r="B4520" s="1" t="n">
        <v>44858</v>
      </c>
      <c r="C4520" s="1" t="n">
        <v>45192</v>
      </c>
      <c r="D4520" t="inlineStr">
        <is>
          <t>ÖSTERGÖTLANDS LÄN</t>
        </is>
      </c>
      <c r="E4520" t="inlineStr">
        <is>
          <t>BOXHOLM</t>
        </is>
      </c>
      <c r="F4520" t="inlineStr">
        <is>
          <t>Övriga Aktiebolag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49229-2022</t>
        </is>
      </c>
      <c r="B4521" s="1" t="n">
        <v>44858</v>
      </c>
      <c r="C4521" s="1" t="n">
        <v>45192</v>
      </c>
      <c r="D4521" t="inlineStr">
        <is>
          <t>ÖSTERGÖTLANDS LÄN</t>
        </is>
      </c>
      <c r="E4521" t="inlineStr">
        <is>
          <t>ÅTVIDABERG</t>
        </is>
      </c>
      <c r="G4521" t="n">
        <v>1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48862-2022</t>
        </is>
      </c>
      <c r="B4522" s="1" t="n">
        <v>44859</v>
      </c>
      <c r="C4522" s="1" t="n">
        <v>45192</v>
      </c>
      <c r="D4522" t="inlineStr">
        <is>
          <t>ÖSTERGÖTLANDS LÄN</t>
        </is>
      </c>
      <c r="E4522" t="inlineStr">
        <is>
          <t>SÖDERKÖPING</t>
        </is>
      </c>
      <c r="G4522" t="n">
        <v>0.7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48839-2022</t>
        </is>
      </c>
      <c r="B4523" s="1" t="n">
        <v>44859</v>
      </c>
      <c r="C4523" s="1" t="n">
        <v>45192</v>
      </c>
      <c r="D4523" t="inlineStr">
        <is>
          <t>ÖSTERGÖTLANDS LÄN</t>
        </is>
      </c>
      <c r="E4523" t="inlineStr">
        <is>
          <t>LINKÖPING</t>
        </is>
      </c>
      <c r="F4523" t="inlineStr">
        <is>
          <t>Övriga Aktiebolag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48669-2022</t>
        </is>
      </c>
      <c r="B4524" s="1" t="n">
        <v>44859</v>
      </c>
      <c r="C4524" s="1" t="n">
        <v>45192</v>
      </c>
      <c r="D4524" t="inlineStr">
        <is>
          <t>ÖSTERGÖTLANDS LÄN</t>
        </is>
      </c>
      <c r="E4524" t="inlineStr">
        <is>
          <t>FINSPÅNG</t>
        </is>
      </c>
      <c r="G4524" t="n">
        <v>1.5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48684-2022</t>
        </is>
      </c>
      <c r="B4525" s="1" t="n">
        <v>44859</v>
      </c>
      <c r="C4525" s="1" t="n">
        <v>45192</v>
      </c>
      <c r="D4525" t="inlineStr">
        <is>
          <t>ÖSTERGÖTLANDS LÄN</t>
        </is>
      </c>
      <c r="E4525" t="inlineStr">
        <is>
          <t>FINSPÅNG</t>
        </is>
      </c>
      <c r="G4525" t="n">
        <v>3.1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48850-2022</t>
        </is>
      </c>
      <c r="B4526" s="1" t="n">
        <v>44859</v>
      </c>
      <c r="C4526" s="1" t="n">
        <v>45192</v>
      </c>
      <c r="D4526" t="inlineStr">
        <is>
          <t>ÖSTERGÖTLANDS LÄN</t>
        </is>
      </c>
      <c r="E4526" t="inlineStr">
        <is>
          <t>VALDEMARSVIK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48861-2022</t>
        </is>
      </c>
      <c r="B4527" s="1" t="n">
        <v>44859</v>
      </c>
      <c r="C4527" s="1" t="n">
        <v>45192</v>
      </c>
      <c r="D4527" t="inlineStr">
        <is>
          <t>ÖSTERGÖTLANDS LÄN</t>
        </is>
      </c>
      <c r="E4527" t="inlineStr">
        <is>
          <t>SÖDERKÖPING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49391-2022</t>
        </is>
      </c>
      <c r="B4528" s="1" t="n">
        <v>44859</v>
      </c>
      <c r="C4528" s="1" t="n">
        <v>45192</v>
      </c>
      <c r="D4528" t="inlineStr">
        <is>
          <t>ÖSTERGÖTLANDS LÄN</t>
        </is>
      </c>
      <c r="E4528" t="inlineStr">
        <is>
          <t>LINKÖPING</t>
        </is>
      </c>
      <c r="G4528" t="n">
        <v>2.4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49446-2022</t>
        </is>
      </c>
      <c r="B4529" s="1" t="n">
        <v>44859</v>
      </c>
      <c r="C4529" s="1" t="n">
        <v>45192</v>
      </c>
      <c r="D4529" t="inlineStr">
        <is>
          <t>ÖSTERGÖTLANDS LÄN</t>
        </is>
      </c>
      <c r="E4529" t="inlineStr">
        <is>
          <t>FINSPÅNG</t>
        </is>
      </c>
      <c r="G4529" t="n">
        <v>3.9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48670-2022</t>
        </is>
      </c>
      <c r="B4530" s="1" t="n">
        <v>44859</v>
      </c>
      <c r="C4530" s="1" t="n">
        <v>45192</v>
      </c>
      <c r="D4530" t="inlineStr">
        <is>
          <t>ÖSTERGÖTLANDS LÄN</t>
        </is>
      </c>
      <c r="E4530" t="inlineStr">
        <is>
          <t>FINSPÅNG</t>
        </is>
      </c>
      <c r="G4530" t="n">
        <v>0.4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48994-2022</t>
        </is>
      </c>
      <c r="B4531" s="1" t="n">
        <v>44860</v>
      </c>
      <c r="C4531" s="1" t="n">
        <v>45192</v>
      </c>
      <c r="D4531" t="inlineStr">
        <is>
          <t>ÖSTERGÖTLANDS LÄN</t>
        </is>
      </c>
      <c r="E4531" t="inlineStr">
        <is>
          <t>ÅTVIDABERG</t>
        </is>
      </c>
      <c r="F4531" t="inlineStr">
        <is>
          <t>Holmen skog AB</t>
        </is>
      </c>
      <c r="G4531" t="n">
        <v>3.7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49060-2022</t>
        </is>
      </c>
      <c r="B4532" s="1" t="n">
        <v>44860</v>
      </c>
      <c r="C4532" s="1" t="n">
        <v>45192</v>
      </c>
      <c r="D4532" t="inlineStr">
        <is>
          <t>ÖSTERGÖTLANDS LÄN</t>
        </is>
      </c>
      <c r="E4532" t="inlineStr">
        <is>
          <t>NORRKÖPING</t>
        </is>
      </c>
      <c r="G4532" t="n">
        <v>1.1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50035-2022</t>
        </is>
      </c>
      <c r="B4533" s="1" t="n">
        <v>44860</v>
      </c>
      <c r="C4533" s="1" t="n">
        <v>45192</v>
      </c>
      <c r="D4533" t="inlineStr">
        <is>
          <t>ÖSTERGÖTLANDS LÄN</t>
        </is>
      </c>
      <c r="E4533" t="inlineStr">
        <is>
          <t>MOTALA</t>
        </is>
      </c>
      <c r="G4533" t="n">
        <v>3.7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49062-2022</t>
        </is>
      </c>
      <c r="B4534" s="1" t="n">
        <v>44860</v>
      </c>
      <c r="C4534" s="1" t="n">
        <v>45192</v>
      </c>
      <c r="D4534" t="inlineStr">
        <is>
          <t>ÖSTERGÖTLANDS LÄN</t>
        </is>
      </c>
      <c r="E4534" t="inlineStr">
        <is>
          <t>NORRKÖPING</t>
        </is>
      </c>
      <c r="G4534" t="n">
        <v>1.4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50051-2022</t>
        </is>
      </c>
      <c r="B4535" s="1" t="n">
        <v>44860</v>
      </c>
      <c r="C4535" s="1" t="n">
        <v>45192</v>
      </c>
      <c r="D4535" t="inlineStr">
        <is>
          <t>ÖSTERGÖTLANDS LÄN</t>
        </is>
      </c>
      <c r="E4535" t="inlineStr">
        <is>
          <t>MOTALA</t>
        </is>
      </c>
      <c r="G4535" t="n">
        <v>2.8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48967-2022</t>
        </is>
      </c>
      <c r="B4536" s="1" t="n">
        <v>44860</v>
      </c>
      <c r="C4536" s="1" t="n">
        <v>45192</v>
      </c>
      <c r="D4536" t="inlineStr">
        <is>
          <t>ÖSTERGÖTLANDS LÄN</t>
        </is>
      </c>
      <c r="E4536" t="inlineStr">
        <is>
          <t>ÅTVIDABERG</t>
        </is>
      </c>
      <c r="F4536" t="inlineStr">
        <is>
          <t>Holmen skog AB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49096-2022</t>
        </is>
      </c>
      <c r="B4537" s="1" t="n">
        <v>44860</v>
      </c>
      <c r="C4537" s="1" t="n">
        <v>45192</v>
      </c>
      <c r="D4537" t="inlineStr">
        <is>
          <t>ÖSTERGÖTLANDS LÄN</t>
        </is>
      </c>
      <c r="E4537" t="inlineStr">
        <is>
          <t>KINDA</t>
        </is>
      </c>
      <c r="G4537" t="n">
        <v>5.1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49154-2022</t>
        </is>
      </c>
      <c r="B4538" s="1" t="n">
        <v>44860</v>
      </c>
      <c r="C4538" s="1" t="n">
        <v>45192</v>
      </c>
      <c r="D4538" t="inlineStr">
        <is>
          <t>ÖSTERGÖTLANDS LÄN</t>
        </is>
      </c>
      <c r="E4538" t="inlineStr">
        <is>
          <t>FINSPÅNG</t>
        </is>
      </c>
      <c r="G4538" t="n">
        <v>0.5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50063-2022</t>
        </is>
      </c>
      <c r="B4539" s="1" t="n">
        <v>44860</v>
      </c>
      <c r="C4539" s="1" t="n">
        <v>45192</v>
      </c>
      <c r="D4539" t="inlineStr">
        <is>
          <t>ÖSTERGÖTLANDS LÄN</t>
        </is>
      </c>
      <c r="E4539" t="inlineStr">
        <is>
          <t>FINSPÅNG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48977-2022</t>
        </is>
      </c>
      <c r="B4540" s="1" t="n">
        <v>44860</v>
      </c>
      <c r="C4540" s="1" t="n">
        <v>45192</v>
      </c>
      <c r="D4540" t="inlineStr">
        <is>
          <t>ÖSTERGÖTLANDS LÄN</t>
        </is>
      </c>
      <c r="E4540" t="inlineStr">
        <is>
          <t>ÅTVIDABERG</t>
        </is>
      </c>
      <c r="F4540" t="inlineStr">
        <is>
          <t>Holmen skog AB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49155-2022</t>
        </is>
      </c>
      <c r="B4541" s="1" t="n">
        <v>44860</v>
      </c>
      <c r="C4541" s="1" t="n">
        <v>45192</v>
      </c>
      <c r="D4541" t="inlineStr">
        <is>
          <t>ÖSTERGÖTLANDS LÄN</t>
        </is>
      </c>
      <c r="E4541" t="inlineStr">
        <is>
          <t>FINSPÅNG</t>
        </is>
      </c>
      <c r="G4541" t="n">
        <v>0.6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50077-2022</t>
        </is>
      </c>
      <c r="B4542" s="1" t="n">
        <v>44860</v>
      </c>
      <c r="C4542" s="1" t="n">
        <v>45192</v>
      </c>
      <c r="D4542" t="inlineStr">
        <is>
          <t>ÖSTERGÖTLANDS LÄN</t>
        </is>
      </c>
      <c r="E4542" t="inlineStr">
        <is>
          <t>FINSPÅNG</t>
        </is>
      </c>
      <c r="G4542" t="n">
        <v>0.8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49227-2022</t>
        </is>
      </c>
      <c r="B4543" s="1" t="n">
        <v>44861</v>
      </c>
      <c r="C4543" s="1" t="n">
        <v>45192</v>
      </c>
      <c r="D4543" t="inlineStr">
        <is>
          <t>ÖSTERGÖTLANDS LÄN</t>
        </is>
      </c>
      <c r="E4543" t="inlineStr">
        <is>
          <t>SÖDERKÖPING</t>
        </is>
      </c>
      <c r="G4543" t="n">
        <v>2.7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49456-2022</t>
        </is>
      </c>
      <c r="B4544" s="1" t="n">
        <v>44861</v>
      </c>
      <c r="C4544" s="1" t="n">
        <v>45192</v>
      </c>
      <c r="D4544" t="inlineStr">
        <is>
          <t>ÖSTERGÖTLANDS LÄN</t>
        </is>
      </c>
      <c r="E4544" t="inlineStr">
        <is>
          <t>NORRKÖPING</t>
        </is>
      </c>
      <c r="G4544" t="n">
        <v>10.1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49494-2022</t>
        </is>
      </c>
      <c r="B4545" s="1" t="n">
        <v>44861</v>
      </c>
      <c r="C4545" s="1" t="n">
        <v>45192</v>
      </c>
      <c r="D4545" t="inlineStr">
        <is>
          <t>ÖSTERGÖTLANDS LÄN</t>
        </is>
      </c>
      <c r="E4545" t="inlineStr">
        <is>
          <t>FINSPÅNG</t>
        </is>
      </c>
      <c r="F4545" t="inlineStr">
        <is>
          <t>Naturvårdsverket</t>
        </is>
      </c>
      <c r="G4545" t="n">
        <v>1.7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49487-2022</t>
        </is>
      </c>
      <c r="B4546" s="1" t="n">
        <v>44861</v>
      </c>
      <c r="C4546" s="1" t="n">
        <v>45192</v>
      </c>
      <c r="D4546" t="inlineStr">
        <is>
          <t>ÖSTERGÖTLANDS LÄN</t>
        </is>
      </c>
      <c r="E4546" t="inlineStr">
        <is>
          <t>NORRKÖPING</t>
        </is>
      </c>
      <c r="F4546" t="inlineStr">
        <is>
          <t>Holmen skog AB</t>
        </is>
      </c>
      <c r="G4546" t="n">
        <v>8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49349-2022</t>
        </is>
      </c>
      <c r="B4547" s="1" t="n">
        <v>44861</v>
      </c>
      <c r="C4547" s="1" t="n">
        <v>45192</v>
      </c>
      <c r="D4547" t="inlineStr">
        <is>
          <t>ÖSTERGÖTLANDS LÄN</t>
        </is>
      </c>
      <c r="E4547" t="inlineStr">
        <is>
          <t>KINDA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49372-2022</t>
        </is>
      </c>
      <c r="B4548" s="1" t="n">
        <v>44861</v>
      </c>
      <c r="C4548" s="1" t="n">
        <v>45192</v>
      </c>
      <c r="D4548" t="inlineStr">
        <is>
          <t>ÖSTERGÖTLANDS LÄN</t>
        </is>
      </c>
      <c r="E4548" t="inlineStr">
        <is>
          <t>ÅTVIDABERG</t>
        </is>
      </c>
      <c r="G4548" t="n">
        <v>1.6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49569-2022</t>
        </is>
      </c>
      <c r="B4549" s="1" t="n">
        <v>44862</v>
      </c>
      <c r="C4549" s="1" t="n">
        <v>45192</v>
      </c>
      <c r="D4549" t="inlineStr">
        <is>
          <t>ÖSTERGÖTLANDS LÄN</t>
        </is>
      </c>
      <c r="E4549" t="inlineStr">
        <is>
          <t>SÖDERKÖPING</t>
        </is>
      </c>
      <c r="G4549" t="n">
        <v>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49677-2022</t>
        </is>
      </c>
      <c r="B4550" s="1" t="n">
        <v>44862</v>
      </c>
      <c r="C4550" s="1" t="n">
        <v>45192</v>
      </c>
      <c r="D4550" t="inlineStr">
        <is>
          <t>ÖSTERGÖTLANDS LÄN</t>
        </is>
      </c>
      <c r="E4550" t="inlineStr">
        <is>
          <t>FINSPÅNG</t>
        </is>
      </c>
      <c r="F4550" t="inlineStr">
        <is>
          <t>Holmen skog AB</t>
        </is>
      </c>
      <c r="G4550" t="n">
        <v>9.6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50782-2022</t>
        </is>
      </c>
      <c r="B4551" s="1" t="n">
        <v>44862</v>
      </c>
      <c r="C4551" s="1" t="n">
        <v>45192</v>
      </c>
      <c r="D4551" t="inlineStr">
        <is>
          <t>ÖSTERGÖTLANDS LÄN</t>
        </is>
      </c>
      <c r="E4551" t="inlineStr">
        <is>
          <t>ÅTVIDABERG</t>
        </is>
      </c>
      <c r="F4551" t="inlineStr">
        <is>
          <t>Övriga statliga verk och myndigheter</t>
        </is>
      </c>
      <c r="G4551" t="n">
        <v>1.3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49617-2022</t>
        </is>
      </c>
      <c r="B4552" s="1" t="n">
        <v>44862</v>
      </c>
      <c r="C4552" s="1" t="n">
        <v>45192</v>
      </c>
      <c r="D4552" t="inlineStr">
        <is>
          <t>ÖSTERGÖTLANDS LÄN</t>
        </is>
      </c>
      <c r="E4552" t="inlineStr">
        <is>
          <t>NORRKÖPING</t>
        </is>
      </c>
      <c r="F4552" t="inlineStr">
        <is>
          <t>Holmen skog AB</t>
        </is>
      </c>
      <c r="G4552" t="n">
        <v>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50756-2022</t>
        </is>
      </c>
      <c r="B4553" s="1" t="n">
        <v>44862</v>
      </c>
      <c r="C4553" s="1" t="n">
        <v>45192</v>
      </c>
      <c r="D4553" t="inlineStr">
        <is>
          <t>ÖSTERGÖTLANDS LÄN</t>
        </is>
      </c>
      <c r="E4553" t="inlineStr">
        <is>
          <t>ÅTVIDABERG</t>
        </is>
      </c>
      <c r="F4553" t="inlineStr">
        <is>
          <t>Övriga statliga verk och myndigheter</t>
        </is>
      </c>
      <c r="G4553" t="n">
        <v>15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50784-2022</t>
        </is>
      </c>
      <c r="B4554" s="1" t="n">
        <v>44862</v>
      </c>
      <c r="C4554" s="1" t="n">
        <v>45192</v>
      </c>
      <c r="D4554" t="inlineStr">
        <is>
          <t>ÖSTERGÖTLANDS LÄN</t>
        </is>
      </c>
      <c r="E4554" t="inlineStr">
        <is>
          <t>LINKÖPING</t>
        </is>
      </c>
      <c r="G4554" t="n">
        <v>0.7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50802-2022</t>
        </is>
      </c>
      <c r="B4555" s="1" t="n">
        <v>44862</v>
      </c>
      <c r="C4555" s="1" t="n">
        <v>45192</v>
      </c>
      <c r="D4555" t="inlineStr">
        <is>
          <t>ÖSTERGÖTLANDS LÄN</t>
        </is>
      </c>
      <c r="E4555" t="inlineStr">
        <is>
          <t>LINKÖPING</t>
        </is>
      </c>
      <c r="G4555" t="n">
        <v>1.2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49778-2022</t>
        </is>
      </c>
      <c r="B4556" s="1" t="n">
        <v>44862</v>
      </c>
      <c r="C4556" s="1" t="n">
        <v>45192</v>
      </c>
      <c r="D4556" t="inlineStr">
        <is>
          <t>ÖSTERGÖTLANDS LÄN</t>
        </is>
      </c>
      <c r="E4556" t="inlineStr">
        <is>
          <t>NORRKÖPING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49799-2022</t>
        </is>
      </c>
      <c r="B4557" s="1" t="n">
        <v>44862</v>
      </c>
      <c r="C4557" s="1" t="n">
        <v>45192</v>
      </c>
      <c r="D4557" t="inlineStr">
        <is>
          <t>ÖSTERGÖTLANDS LÄN</t>
        </is>
      </c>
      <c r="E4557" t="inlineStr">
        <is>
          <t>NORRKÖPING</t>
        </is>
      </c>
      <c r="F4557" t="inlineStr">
        <is>
          <t>Holmen skog AB</t>
        </is>
      </c>
      <c r="G4557" t="n">
        <v>1.8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50794-2022</t>
        </is>
      </c>
      <c r="B4558" s="1" t="n">
        <v>44862</v>
      </c>
      <c r="C4558" s="1" t="n">
        <v>45192</v>
      </c>
      <c r="D4558" t="inlineStr">
        <is>
          <t>ÖSTERGÖTLANDS LÄN</t>
        </is>
      </c>
      <c r="E4558" t="inlineStr">
        <is>
          <t>LINKÖPING</t>
        </is>
      </c>
      <c r="G4558" t="n">
        <v>1.4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49877-2022</t>
        </is>
      </c>
      <c r="B4559" s="1" t="n">
        <v>44864</v>
      </c>
      <c r="C4559" s="1" t="n">
        <v>45192</v>
      </c>
      <c r="D4559" t="inlineStr">
        <is>
          <t>ÖSTERGÖTLANDS LÄN</t>
        </is>
      </c>
      <c r="E4559" t="inlineStr">
        <is>
          <t>FINSPÅNG</t>
        </is>
      </c>
      <c r="G4559" t="n">
        <v>0.6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50216-2022</t>
        </is>
      </c>
      <c r="B4560" s="1" t="n">
        <v>44865</v>
      </c>
      <c r="C4560" s="1" t="n">
        <v>45192</v>
      </c>
      <c r="D4560" t="inlineStr">
        <is>
          <t>ÖSTERGÖTLANDS LÄN</t>
        </is>
      </c>
      <c r="E4560" t="inlineStr">
        <is>
          <t>FINSPÅNG</t>
        </is>
      </c>
      <c r="F4560" t="inlineStr">
        <is>
          <t>Holmen skog AB</t>
        </is>
      </c>
      <c r="G4560" t="n">
        <v>2.6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50241-2022</t>
        </is>
      </c>
      <c r="B4561" s="1" t="n">
        <v>44865</v>
      </c>
      <c r="C4561" s="1" t="n">
        <v>45192</v>
      </c>
      <c r="D4561" t="inlineStr">
        <is>
          <t>ÖSTERGÖTLANDS LÄN</t>
        </is>
      </c>
      <c r="E4561" t="inlineStr">
        <is>
          <t>SÖDERKÖPING</t>
        </is>
      </c>
      <c r="G4561" t="n">
        <v>1.3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50341-2022</t>
        </is>
      </c>
      <c r="B4562" s="1" t="n">
        <v>44865</v>
      </c>
      <c r="C4562" s="1" t="n">
        <v>45192</v>
      </c>
      <c r="D4562" t="inlineStr">
        <is>
          <t>ÖSTERGÖTLANDS LÄN</t>
        </is>
      </c>
      <c r="E4562" t="inlineStr">
        <is>
          <t>FINSPÅNG</t>
        </is>
      </c>
      <c r="G4562" t="n">
        <v>2.8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49920-2022</t>
        </is>
      </c>
      <c r="B4563" s="1" t="n">
        <v>44865</v>
      </c>
      <c r="C4563" s="1" t="n">
        <v>45192</v>
      </c>
      <c r="D4563" t="inlineStr">
        <is>
          <t>ÖSTERGÖTLANDS LÄN</t>
        </is>
      </c>
      <c r="E4563" t="inlineStr">
        <is>
          <t>ÖDESHÖG</t>
        </is>
      </c>
      <c r="G4563" t="n">
        <v>2.4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50082-2022</t>
        </is>
      </c>
      <c r="B4564" s="1" t="n">
        <v>44865</v>
      </c>
      <c r="C4564" s="1" t="n">
        <v>45192</v>
      </c>
      <c r="D4564" t="inlineStr">
        <is>
          <t>ÖSTERGÖTLANDS LÄN</t>
        </is>
      </c>
      <c r="E4564" t="inlineStr">
        <is>
          <t>MOTALA</t>
        </is>
      </c>
      <c r="G4564" t="n">
        <v>2.8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50157-2022</t>
        </is>
      </c>
      <c r="B4565" s="1" t="n">
        <v>44865</v>
      </c>
      <c r="C4565" s="1" t="n">
        <v>45192</v>
      </c>
      <c r="D4565" t="inlineStr">
        <is>
          <t>ÖSTERGÖTLANDS LÄN</t>
        </is>
      </c>
      <c r="E4565" t="inlineStr">
        <is>
          <t>NORRKÖPING</t>
        </is>
      </c>
      <c r="G4565" t="n">
        <v>0.9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50190-2022</t>
        </is>
      </c>
      <c r="B4566" s="1" t="n">
        <v>44865</v>
      </c>
      <c r="C4566" s="1" t="n">
        <v>45192</v>
      </c>
      <c r="D4566" t="inlineStr">
        <is>
          <t>ÖSTERGÖTLANDS LÄN</t>
        </is>
      </c>
      <c r="E4566" t="inlineStr">
        <is>
          <t>ÅTVIDABERG</t>
        </is>
      </c>
      <c r="G4566" t="n">
        <v>2.5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50248-2022</t>
        </is>
      </c>
      <c r="B4567" s="1" t="n">
        <v>44865</v>
      </c>
      <c r="C4567" s="1" t="n">
        <v>45192</v>
      </c>
      <c r="D4567" t="inlineStr">
        <is>
          <t>ÖSTERGÖTLANDS LÄN</t>
        </is>
      </c>
      <c r="E4567" t="inlineStr">
        <is>
          <t>MOTALA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49922-2022</t>
        </is>
      </c>
      <c r="B4568" s="1" t="n">
        <v>44865</v>
      </c>
      <c r="C4568" s="1" t="n">
        <v>45192</v>
      </c>
      <c r="D4568" t="inlineStr">
        <is>
          <t>ÖSTERGÖTLANDS LÄN</t>
        </is>
      </c>
      <c r="E4568" t="inlineStr">
        <is>
          <t>NORRKÖPING</t>
        </is>
      </c>
      <c r="F4568" t="inlineStr">
        <is>
          <t>Holmen skog AB</t>
        </is>
      </c>
      <c r="G4568" t="n">
        <v>6.7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49934-2022</t>
        </is>
      </c>
      <c r="B4569" s="1" t="n">
        <v>44865</v>
      </c>
      <c r="C4569" s="1" t="n">
        <v>45192</v>
      </c>
      <c r="D4569" t="inlineStr">
        <is>
          <t>ÖSTERGÖTLANDS LÄN</t>
        </is>
      </c>
      <c r="E4569" t="inlineStr">
        <is>
          <t>KINDA</t>
        </is>
      </c>
      <c r="F4569" t="inlineStr">
        <is>
          <t>Övriga Aktiebolag</t>
        </is>
      </c>
      <c r="G4569" t="n">
        <v>1.1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50342-2022</t>
        </is>
      </c>
      <c r="B4570" s="1" t="n">
        <v>44865</v>
      </c>
      <c r="C4570" s="1" t="n">
        <v>45192</v>
      </c>
      <c r="D4570" t="inlineStr">
        <is>
          <t>ÖSTERGÖTLANDS LÄN</t>
        </is>
      </c>
      <c r="E4570" t="inlineStr">
        <is>
          <t>FINSPÅNG</t>
        </is>
      </c>
      <c r="G4570" t="n">
        <v>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49979-2022</t>
        </is>
      </c>
      <c r="B4571" s="1" t="n">
        <v>44865</v>
      </c>
      <c r="C4571" s="1" t="n">
        <v>45192</v>
      </c>
      <c r="D4571" t="inlineStr">
        <is>
          <t>ÖSTERGÖTLANDS LÄN</t>
        </is>
      </c>
      <c r="E4571" t="inlineStr">
        <is>
          <t>LINKÖPING</t>
        </is>
      </c>
      <c r="F4571" t="inlineStr">
        <is>
          <t>Övriga Aktiebolag</t>
        </is>
      </c>
      <c r="G4571" t="n">
        <v>11.4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50189-2022</t>
        </is>
      </c>
      <c r="B4572" s="1" t="n">
        <v>44865</v>
      </c>
      <c r="C4572" s="1" t="n">
        <v>45192</v>
      </c>
      <c r="D4572" t="inlineStr">
        <is>
          <t>ÖSTERGÖTLANDS LÄN</t>
        </is>
      </c>
      <c r="E4572" t="inlineStr">
        <is>
          <t>FINSPÅNG</t>
        </is>
      </c>
      <c r="F4572" t="inlineStr">
        <is>
          <t>Holmen skog AB</t>
        </is>
      </c>
      <c r="G4572" t="n">
        <v>6.5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50212-2022</t>
        </is>
      </c>
      <c r="B4573" s="1" t="n">
        <v>44865</v>
      </c>
      <c r="C4573" s="1" t="n">
        <v>45192</v>
      </c>
      <c r="D4573" t="inlineStr">
        <is>
          <t>ÖSTERGÖTLANDS LÄN</t>
        </is>
      </c>
      <c r="E4573" t="inlineStr">
        <is>
          <t>NORRKÖPING</t>
        </is>
      </c>
      <c r="G4573" t="n">
        <v>0.6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50228-2022</t>
        </is>
      </c>
      <c r="B4574" s="1" t="n">
        <v>44865</v>
      </c>
      <c r="C4574" s="1" t="n">
        <v>45192</v>
      </c>
      <c r="D4574" t="inlineStr">
        <is>
          <t>ÖSTERGÖTLANDS LÄN</t>
        </is>
      </c>
      <c r="E4574" t="inlineStr">
        <is>
          <t>SÖDERKÖPING</t>
        </is>
      </c>
      <c r="G4574" t="n">
        <v>1.7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51191-2022</t>
        </is>
      </c>
      <c r="B4575" s="1" t="n">
        <v>44865</v>
      </c>
      <c r="C4575" s="1" t="n">
        <v>45192</v>
      </c>
      <c r="D4575" t="inlineStr">
        <is>
          <t>ÖSTERGÖTLANDS LÄN</t>
        </is>
      </c>
      <c r="E4575" t="inlineStr">
        <is>
          <t>LINKÖPING</t>
        </is>
      </c>
      <c r="G4575" t="n">
        <v>2.2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50596-2022</t>
        </is>
      </c>
      <c r="B4576" s="1" t="n">
        <v>44866</v>
      </c>
      <c r="C4576" s="1" t="n">
        <v>45192</v>
      </c>
      <c r="D4576" t="inlineStr">
        <is>
          <t>ÖSTERGÖTLANDS LÄN</t>
        </is>
      </c>
      <c r="E4576" t="inlineStr">
        <is>
          <t>YDRE</t>
        </is>
      </c>
      <c r="F4576" t="inlineStr">
        <is>
          <t>Sveaskog</t>
        </is>
      </c>
      <c r="G4576" t="n">
        <v>3.2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50542-2022</t>
        </is>
      </c>
      <c r="B4577" s="1" t="n">
        <v>44866</v>
      </c>
      <c r="C4577" s="1" t="n">
        <v>45192</v>
      </c>
      <c r="D4577" t="inlineStr">
        <is>
          <t>ÖSTERGÖTLANDS LÄN</t>
        </is>
      </c>
      <c r="E4577" t="inlineStr">
        <is>
          <t>FINSPÅNG</t>
        </is>
      </c>
      <c r="G4577" t="n">
        <v>3.8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50455-2022</t>
        </is>
      </c>
      <c r="B4578" s="1" t="n">
        <v>44866</v>
      </c>
      <c r="C4578" s="1" t="n">
        <v>45192</v>
      </c>
      <c r="D4578" t="inlineStr">
        <is>
          <t>ÖSTERGÖTLANDS LÄN</t>
        </is>
      </c>
      <c r="E4578" t="inlineStr">
        <is>
          <t>BOXHOLM</t>
        </is>
      </c>
      <c r="F4578" t="inlineStr">
        <is>
          <t>Övriga Aktiebolag</t>
        </is>
      </c>
      <c r="G4578" t="n">
        <v>0.5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50960-2022</t>
        </is>
      </c>
      <c r="B4579" s="1" t="n">
        <v>44867</v>
      </c>
      <c r="C4579" s="1" t="n">
        <v>45192</v>
      </c>
      <c r="D4579" t="inlineStr">
        <is>
          <t>ÖSTERGÖTLANDS LÄN</t>
        </is>
      </c>
      <c r="E4579" t="inlineStr">
        <is>
          <t>NORRKÖPING</t>
        </is>
      </c>
      <c r="F4579" t="inlineStr">
        <is>
          <t>Allmännings- och besparingsskogar</t>
        </is>
      </c>
      <c r="G4579" t="n">
        <v>10.3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51047-2022</t>
        </is>
      </c>
      <c r="B4580" s="1" t="n">
        <v>44868</v>
      </c>
      <c r="C4580" s="1" t="n">
        <v>45192</v>
      </c>
      <c r="D4580" t="inlineStr">
        <is>
          <t>ÖSTERGÖTLANDS LÄN</t>
        </is>
      </c>
      <c r="E4580" t="inlineStr">
        <is>
          <t>KINDA</t>
        </is>
      </c>
      <c r="G4580" t="n">
        <v>0.9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51163-2022</t>
        </is>
      </c>
      <c r="B4581" s="1" t="n">
        <v>44868</v>
      </c>
      <c r="C4581" s="1" t="n">
        <v>45192</v>
      </c>
      <c r="D4581" t="inlineStr">
        <is>
          <t>ÖSTERGÖTLANDS LÄN</t>
        </is>
      </c>
      <c r="E4581" t="inlineStr">
        <is>
          <t>YDRE</t>
        </is>
      </c>
      <c r="F4581" t="inlineStr">
        <is>
          <t>Övriga Aktiebolag</t>
        </is>
      </c>
      <c r="G4581" t="n">
        <v>5.1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51294-2022</t>
        </is>
      </c>
      <c r="B4582" s="1" t="n">
        <v>44868</v>
      </c>
      <c r="C4582" s="1" t="n">
        <v>45192</v>
      </c>
      <c r="D4582" t="inlineStr">
        <is>
          <t>ÖSTERGÖTLANDS LÄN</t>
        </is>
      </c>
      <c r="E4582" t="inlineStr">
        <is>
          <t>KINDA</t>
        </is>
      </c>
      <c r="G4582" t="n">
        <v>1.8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51610-2022</t>
        </is>
      </c>
      <c r="B4583" s="1" t="n">
        <v>44871</v>
      </c>
      <c r="C4583" s="1" t="n">
        <v>45192</v>
      </c>
      <c r="D4583" t="inlineStr">
        <is>
          <t>ÖSTERGÖTLANDS LÄN</t>
        </is>
      </c>
      <c r="E4583" t="inlineStr">
        <is>
          <t>FINSPÅNG</t>
        </is>
      </c>
      <c r="G4583" t="n">
        <v>7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51633-2022</t>
        </is>
      </c>
      <c r="B4584" s="1" t="n">
        <v>44872</v>
      </c>
      <c r="C4584" s="1" t="n">
        <v>45192</v>
      </c>
      <c r="D4584" t="inlineStr">
        <is>
          <t>ÖSTERGÖTLANDS LÄN</t>
        </is>
      </c>
      <c r="E4584" t="inlineStr">
        <is>
          <t>ÅTVIDABERG</t>
        </is>
      </c>
      <c r="F4584" t="inlineStr">
        <is>
          <t>Holmen skog AB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51694-2022</t>
        </is>
      </c>
      <c r="B4585" s="1" t="n">
        <v>44872</v>
      </c>
      <c r="C4585" s="1" t="n">
        <v>45192</v>
      </c>
      <c r="D4585" t="inlineStr">
        <is>
          <t>ÖSTERGÖTLANDS LÄN</t>
        </is>
      </c>
      <c r="E4585" t="inlineStr">
        <is>
          <t>YDRE</t>
        </is>
      </c>
      <c r="G4585" t="n">
        <v>5.4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51619-2022</t>
        </is>
      </c>
      <c r="B4586" s="1" t="n">
        <v>44872</v>
      </c>
      <c r="C4586" s="1" t="n">
        <v>45192</v>
      </c>
      <c r="D4586" t="inlineStr">
        <is>
          <t>ÖSTERGÖTLANDS LÄN</t>
        </is>
      </c>
      <c r="E4586" t="inlineStr">
        <is>
          <t>YDRE</t>
        </is>
      </c>
      <c r="F4586" t="inlineStr">
        <is>
          <t>Övriga Aktiebolag</t>
        </is>
      </c>
      <c r="G4586" t="n">
        <v>10.8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52047-2022</t>
        </is>
      </c>
      <c r="B4587" s="1" t="n">
        <v>44873</v>
      </c>
      <c r="C4587" s="1" t="n">
        <v>45192</v>
      </c>
      <c r="D4587" t="inlineStr">
        <is>
          <t>ÖSTERGÖTLANDS LÄN</t>
        </is>
      </c>
      <c r="E4587" t="inlineStr">
        <is>
          <t>KINDA</t>
        </is>
      </c>
      <c r="G4587" t="n">
        <v>3.7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52193-2022</t>
        </is>
      </c>
      <c r="B4588" s="1" t="n">
        <v>44873</v>
      </c>
      <c r="C4588" s="1" t="n">
        <v>45192</v>
      </c>
      <c r="D4588" t="inlineStr">
        <is>
          <t>ÖSTERGÖTLANDS LÄN</t>
        </is>
      </c>
      <c r="E4588" t="inlineStr">
        <is>
          <t>BOXHOLM</t>
        </is>
      </c>
      <c r="F4588" t="inlineStr">
        <is>
          <t>Övriga Aktiebolag</t>
        </is>
      </c>
      <c r="G4588" t="n">
        <v>5.3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52125-2022</t>
        </is>
      </c>
      <c r="B4589" s="1" t="n">
        <v>44873</v>
      </c>
      <c r="C4589" s="1" t="n">
        <v>45192</v>
      </c>
      <c r="D4589" t="inlineStr">
        <is>
          <t>ÖSTERGÖTLANDS LÄN</t>
        </is>
      </c>
      <c r="E4589" t="inlineStr">
        <is>
          <t>LINKÖPING</t>
        </is>
      </c>
      <c r="F4589" t="inlineStr">
        <is>
          <t>Övriga Aktiebolag</t>
        </is>
      </c>
      <c r="G4589" t="n">
        <v>0.7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52195-2022</t>
        </is>
      </c>
      <c r="B4590" s="1" t="n">
        <v>44873</v>
      </c>
      <c r="C4590" s="1" t="n">
        <v>45192</v>
      </c>
      <c r="D4590" t="inlineStr">
        <is>
          <t>ÖSTERGÖTLANDS LÄN</t>
        </is>
      </c>
      <c r="E4590" t="inlineStr">
        <is>
          <t>BOXHOLM</t>
        </is>
      </c>
      <c r="F4590" t="inlineStr">
        <is>
          <t>Övriga Aktiebolag</t>
        </is>
      </c>
      <c r="G4590" t="n">
        <v>3.5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52675-2022</t>
        </is>
      </c>
      <c r="B4591" s="1" t="n">
        <v>44874</v>
      </c>
      <c r="C4591" s="1" t="n">
        <v>45192</v>
      </c>
      <c r="D4591" t="inlineStr">
        <is>
          <t>ÖSTERGÖTLANDS LÄN</t>
        </is>
      </c>
      <c r="E4591" t="inlineStr">
        <is>
          <t>FINSPÅNG</t>
        </is>
      </c>
      <c r="G4591" t="n">
        <v>5.6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53189-2022</t>
        </is>
      </c>
      <c r="B4592" s="1" t="n">
        <v>44874</v>
      </c>
      <c r="C4592" s="1" t="n">
        <v>45192</v>
      </c>
      <c r="D4592" t="inlineStr">
        <is>
          <t>ÖSTERGÖTLANDS LÄN</t>
        </is>
      </c>
      <c r="E4592" t="inlineStr">
        <is>
          <t>ÅTVIDABERG</t>
        </is>
      </c>
      <c r="F4592" t="inlineStr">
        <is>
          <t>Övriga Aktiebolag</t>
        </is>
      </c>
      <c r="G4592" t="n">
        <v>9.6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53534-2022</t>
        </is>
      </c>
      <c r="B4593" s="1" t="n">
        <v>44874</v>
      </c>
      <c r="C4593" s="1" t="n">
        <v>45192</v>
      </c>
      <c r="D4593" t="inlineStr">
        <is>
          <t>ÖSTERGÖTLANDS LÄN</t>
        </is>
      </c>
      <c r="E4593" t="inlineStr">
        <is>
          <t>YDRE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53168-2022</t>
        </is>
      </c>
      <c r="B4594" s="1" t="n">
        <v>44874</v>
      </c>
      <c r="C4594" s="1" t="n">
        <v>45192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2.1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53196-2022</t>
        </is>
      </c>
      <c r="B4595" s="1" t="n">
        <v>44874</v>
      </c>
      <c r="C4595" s="1" t="n">
        <v>45192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53193-2022</t>
        </is>
      </c>
      <c r="B4596" s="1" t="n">
        <v>44874</v>
      </c>
      <c r="C4596" s="1" t="n">
        <v>45192</v>
      </c>
      <c r="D4596" t="inlineStr">
        <is>
          <t>ÖSTERGÖTLANDS LÄN</t>
        </is>
      </c>
      <c r="E4596" t="inlineStr">
        <is>
          <t>ÅTVIDABERG</t>
        </is>
      </c>
      <c r="F4596" t="inlineStr">
        <is>
          <t>Övriga Aktiebolag</t>
        </is>
      </c>
      <c r="G4596" t="n">
        <v>18.8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53451-2022</t>
        </is>
      </c>
      <c r="B4597" s="1" t="n">
        <v>44874</v>
      </c>
      <c r="C4597" s="1" t="n">
        <v>45192</v>
      </c>
      <c r="D4597" t="inlineStr">
        <is>
          <t>ÖSTERGÖTLANDS LÄN</t>
        </is>
      </c>
      <c r="E4597" t="inlineStr">
        <is>
          <t>YDRE</t>
        </is>
      </c>
      <c r="G4597" t="n">
        <v>2.2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53493-2022</t>
        </is>
      </c>
      <c r="B4598" s="1" t="n">
        <v>44874</v>
      </c>
      <c r="C4598" s="1" t="n">
        <v>45192</v>
      </c>
      <c r="D4598" t="inlineStr">
        <is>
          <t>ÖSTERGÖTLANDS LÄN</t>
        </is>
      </c>
      <c r="E4598" t="inlineStr">
        <is>
          <t>KINDA</t>
        </is>
      </c>
      <c r="G4598" t="n">
        <v>1.4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52465-2022</t>
        </is>
      </c>
      <c r="B4599" s="1" t="n">
        <v>44874</v>
      </c>
      <c r="C4599" s="1" t="n">
        <v>45192</v>
      </c>
      <c r="D4599" t="inlineStr">
        <is>
          <t>ÖSTERGÖTLANDS LÄN</t>
        </is>
      </c>
      <c r="E4599" t="inlineStr">
        <is>
          <t>SÖDERKÖPING</t>
        </is>
      </c>
      <c r="G4599" t="n">
        <v>3.8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52479-2022</t>
        </is>
      </c>
      <c r="B4600" s="1" t="n">
        <v>44874</v>
      </c>
      <c r="C4600" s="1" t="n">
        <v>45192</v>
      </c>
      <c r="D4600" t="inlineStr">
        <is>
          <t>ÖSTERGÖTLANDS LÄN</t>
        </is>
      </c>
      <c r="E4600" t="inlineStr">
        <is>
          <t>SÖDERKÖPING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52523-2022</t>
        </is>
      </c>
      <c r="B4601" s="1" t="n">
        <v>44874</v>
      </c>
      <c r="C4601" s="1" t="n">
        <v>45192</v>
      </c>
      <c r="D4601" t="inlineStr">
        <is>
          <t>ÖSTERGÖTLANDS LÄN</t>
        </is>
      </c>
      <c r="E4601" t="inlineStr">
        <is>
          <t>MOTALA</t>
        </is>
      </c>
      <c r="F4601" t="inlineStr">
        <is>
          <t>Kyrkan</t>
        </is>
      </c>
      <c r="G4601" t="n">
        <v>6.7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53500-2022</t>
        </is>
      </c>
      <c r="B4602" s="1" t="n">
        <v>44874</v>
      </c>
      <c r="C4602" s="1" t="n">
        <v>45192</v>
      </c>
      <c r="D4602" t="inlineStr">
        <is>
          <t>ÖSTERGÖTLANDS LÄN</t>
        </is>
      </c>
      <c r="E4602" t="inlineStr">
        <is>
          <t>NORRKÖPING</t>
        </is>
      </c>
      <c r="G4602" t="n">
        <v>2.2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53234-2022</t>
        </is>
      </c>
      <c r="B4603" s="1" t="n">
        <v>44876</v>
      </c>
      <c r="C4603" s="1" t="n">
        <v>45192</v>
      </c>
      <c r="D4603" t="inlineStr">
        <is>
          <t>ÖSTERGÖTLANDS LÄN</t>
        </is>
      </c>
      <c r="E4603" t="inlineStr">
        <is>
          <t>ÅTVIDABERG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53246-2022</t>
        </is>
      </c>
      <c r="B4604" s="1" t="n">
        <v>44876</v>
      </c>
      <c r="C4604" s="1" t="n">
        <v>45192</v>
      </c>
      <c r="D4604" t="inlineStr">
        <is>
          <t>ÖSTERGÖTLANDS LÄN</t>
        </is>
      </c>
      <c r="E4604" t="inlineStr">
        <is>
          <t>FINSPÅNG</t>
        </is>
      </c>
      <c r="G4604" t="n">
        <v>1.4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53373-2022</t>
        </is>
      </c>
      <c r="B4605" s="1" t="n">
        <v>44879</v>
      </c>
      <c r="C4605" s="1" t="n">
        <v>45192</v>
      </c>
      <c r="D4605" t="inlineStr">
        <is>
          <t>ÖSTERGÖTLANDS LÄN</t>
        </is>
      </c>
      <c r="E4605" t="inlineStr">
        <is>
          <t>YDRE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53524-2022</t>
        </is>
      </c>
      <c r="B4606" s="1" t="n">
        <v>44879</v>
      </c>
      <c r="C4606" s="1" t="n">
        <v>45192</v>
      </c>
      <c r="D4606" t="inlineStr">
        <is>
          <t>ÖSTERGÖTLANDS LÄN</t>
        </is>
      </c>
      <c r="E4606" t="inlineStr">
        <is>
          <t>MJÖLBY</t>
        </is>
      </c>
      <c r="G4606" t="n">
        <v>0.8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53383-2022</t>
        </is>
      </c>
      <c r="B4607" s="1" t="n">
        <v>44879</v>
      </c>
      <c r="C4607" s="1" t="n">
        <v>45192</v>
      </c>
      <c r="D4607" t="inlineStr">
        <is>
          <t>ÖSTERGÖTLANDS LÄN</t>
        </is>
      </c>
      <c r="E4607" t="inlineStr">
        <is>
          <t>YDRE</t>
        </is>
      </c>
      <c r="G4607" t="n">
        <v>0.7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53520-2022</t>
        </is>
      </c>
      <c r="B4608" s="1" t="n">
        <v>44879</v>
      </c>
      <c r="C4608" s="1" t="n">
        <v>45192</v>
      </c>
      <c r="D4608" t="inlineStr">
        <is>
          <t>ÖSTERGÖTLANDS LÄN</t>
        </is>
      </c>
      <c r="E4608" t="inlineStr">
        <is>
          <t>MJÖLBY</t>
        </is>
      </c>
      <c r="G4608" t="n">
        <v>1.4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53842-2022</t>
        </is>
      </c>
      <c r="B4609" s="1" t="n">
        <v>44880</v>
      </c>
      <c r="C4609" s="1" t="n">
        <v>45192</v>
      </c>
      <c r="D4609" t="inlineStr">
        <is>
          <t>ÖSTERGÖTLANDS LÄN</t>
        </is>
      </c>
      <c r="E4609" t="inlineStr">
        <is>
          <t>ÅTVIDABERG</t>
        </is>
      </c>
      <c r="G4609" t="n">
        <v>0.8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53905-2022</t>
        </is>
      </c>
      <c r="B4610" s="1" t="n">
        <v>44880</v>
      </c>
      <c r="C4610" s="1" t="n">
        <v>45192</v>
      </c>
      <c r="D4610" t="inlineStr">
        <is>
          <t>ÖSTERGÖTLANDS LÄN</t>
        </is>
      </c>
      <c r="E4610" t="inlineStr">
        <is>
          <t>LINKÖPING</t>
        </is>
      </c>
      <c r="G4610" t="n">
        <v>6.4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53821-2022</t>
        </is>
      </c>
      <c r="B4611" s="1" t="n">
        <v>44880</v>
      </c>
      <c r="C4611" s="1" t="n">
        <v>45192</v>
      </c>
      <c r="D4611" t="inlineStr">
        <is>
          <t>ÖSTERGÖTLANDS LÄN</t>
        </is>
      </c>
      <c r="E4611" t="inlineStr">
        <is>
          <t>FINSPÅNG</t>
        </is>
      </c>
      <c r="F4611" t="inlineStr">
        <is>
          <t>Holmen skog AB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53907-2022</t>
        </is>
      </c>
      <c r="B4612" s="1" t="n">
        <v>44880</v>
      </c>
      <c r="C4612" s="1" t="n">
        <v>45192</v>
      </c>
      <c r="D4612" t="inlineStr">
        <is>
          <t>ÖSTERGÖTLANDS LÄN</t>
        </is>
      </c>
      <c r="E4612" t="inlineStr">
        <is>
          <t>LINKÖPING</t>
        </is>
      </c>
      <c r="G4612" t="n">
        <v>4.6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53852-2022</t>
        </is>
      </c>
      <c r="B4613" s="1" t="n">
        <v>44880</v>
      </c>
      <c r="C4613" s="1" t="n">
        <v>45192</v>
      </c>
      <c r="D4613" t="inlineStr">
        <is>
          <t>ÖSTERGÖTLANDS LÄN</t>
        </is>
      </c>
      <c r="E4613" t="inlineStr">
        <is>
          <t>NORRKÖPING</t>
        </is>
      </c>
      <c r="G4613" t="n">
        <v>1.8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55034-2022</t>
        </is>
      </c>
      <c r="B4614" s="1" t="n">
        <v>44881</v>
      </c>
      <c r="C4614" s="1" t="n">
        <v>45192</v>
      </c>
      <c r="D4614" t="inlineStr">
        <is>
          <t>ÖSTERGÖTLANDS LÄN</t>
        </is>
      </c>
      <c r="E4614" t="inlineStr">
        <is>
          <t>NORRKÖPING</t>
        </is>
      </c>
      <c r="G4614" t="n">
        <v>2.9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54034-2022</t>
        </is>
      </c>
      <c r="B4615" s="1" t="n">
        <v>44881</v>
      </c>
      <c r="C4615" s="1" t="n">
        <v>45192</v>
      </c>
      <c r="D4615" t="inlineStr">
        <is>
          <t>ÖSTERGÖTLANDS LÄN</t>
        </is>
      </c>
      <c r="E4615" t="inlineStr">
        <is>
          <t>LINKÖPING</t>
        </is>
      </c>
      <c r="G4615" t="n">
        <v>0.5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55024-2022</t>
        </is>
      </c>
      <c r="B4616" s="1" t="n">
        <v>44881</v>
      </c>
      <c r="C4616" s="1" t="n">
        <v>45192</v>
      </c>
      <c r="D4616" t="inlineStr">
        <is>
          <t>ÖSTERGÖTLANDS LÄN</t>
        </is>
      </c>
      <c r="E4616" t="inlineStr">
        <is>
          <t>FINSPÅNG</t>
        </is>
      </c>
      <c r="F4616" t="inlineStr">
        <is>
          <t>Övriga Aktiebolag</t>
        </is>
      </c>
      <c r="G4616" t="n">
        <v>1.3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54342-2022</t>
        </is>
      </c>
      <c r="B4617" s="1" t="n">
        <v>44882</v>
      </c>
      <c r="C4617" s="1" t="n">
        <v>45192</v>
      </c>
      <c r="D4617" t="inlineStr">
        <is>
          <t>ÖSTERGÖTLANDS LÄN</t>
        </is>
      </c>
      <c r="E4617" t="inlineStr">
        <is>
          <t>KINDA</t>
        </is>
      </c>
      <c r="G4617" t="n">
        <v>0.2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54369-2022</t>
        </is>
      </c>
      <c r="B4618" s="1" t="n">
        <v>44882</v>
      </c>
      <c r="C4618" s="1" t="n">
        <v>45192</v>
      </c>
      <c r="D4618" t="inlineStr">
        <is>
          <t>ÖSTERGÖTLANDS LÄN</t>
        </is>
      </c>
      <c r="E4618" t="inlineStr">
        <is>
          <t>BOXHOLM</t>
        </is>
      </c>
      <c r="F4618" t="inlineStr">
        <is>
          <t>Övriga Aktiebolag</t>
        </is>
      </c>
      <c r="G4618" t="n">
        <v>6.1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54467-2022</t>
        </is>
      </c>
      <c r="B4619" s="1" t="n">
        <v>44882</v>
      </c>
      <c r="C4619" s="1" t="n">
        <v>45192</v>
      </c>
      <c r="D4619" t="inlineStr">
        <is>
          <t>ÖSTERGÖTLANDS LÄN</t>
        </is>
      </c>
      <c r="E4619" t="inlineStr">
        <is>
          <t>LINKÖPING</t>
        </is>
      </c>
      <c r="F4619" t="inlineStr">
        <is>
          <t>Sveaskog</t>
        </is>
      </c>
      <c r="G4619" t="n">
        <v>2.5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54507-2022</t>
        </is>
      </c>
      <c r="B4620" s="1" t="n">
        <v>44882</v>
      </c>
      <c r="C4620" s="1" t="n">
        <v>45192</v>
      </c>
      <c r="D4620" t="inlineStr">
        <is>
          <t>ÖSTERGÖTLANDS LÄN</t>
        </is>
      </c>
      <c r="E4620" t="inlineStr">
        <is>
          <t>KINDA</t>
        </is>
      </c>
      <c r="G4620" t="n">
        <v>0.1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55304-2022</t>
        </is>
      </c>
      <c r="B4621" s="1" t="n">
        <v>44882</v>
      </c>
      <c r="C4621" s="1" t="n">
        <v>45192</v>
      </c>
      <c r="D4621" t="inlineStr">
        <is>
          <t>ÖSTERGÖTLANDS LÄN</t>
        </is>
      </c>
      <c r="E4621" t="inlineStr">
        <is>
          <t>VALDEMARSVIK</t>
        </is>
      </c>
      <c r="F4621" t="inlineStr">
        <is>
          <t>Övriga Aktiebolag</t>
        </is>
      </c>
      <c r="G4621" t="n">
        <v>2.8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54473-2022</t>
        </is>
      </c>
      <c r="B4622" s="1" t="n">
        <v>44882</v>
      </c>
      <c r="C4622" s="1" t="n">
        <v>45192</v>
      </c>
      <c r="D4622" t="inlineStr">
        <is>
          <t>ÖSTERGÖTLANDS LÄN</t>
        </is>
      </c>
      <c r="E4622" t="inlineStr">
        <is>
          <t>LINKÖPING</t>
        </is>
      </c>
      <c r="F4622" t="inlineStr">
        <is>
          <t>Sveaskog</t>
        </is>
      </c>
      <c r="G4622" t="n">
        <v>2.1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54484-2022</t>
        </is>
      </c>
      <c r="B4623" s="1" t="n">
        <v>44882</v>
      </c>
      <c r="C4623" s="1" t="n">
        <v>45192</v>
      </c>
      <c r="D4623" t="inlineStr">
        <is>
          <t>ÖSTERGÖTLANDS LÄN</t>
        </is>
      </c>
      <c r="E4623" t="inlineStr">
        <is>
          <t>KINDA</t>
        </is>
      </c>
      <c r="G4623" t="n">
        <v>0.3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54324-2022</t>
        </is>
      </c>
      <c r="B4624" s="1" t="n">
        <v>44882</v>
      </c>
      <c r="C4624" s="1" t="n">
        <v>45192</v>
      </c>
      <c r="D4624" t="inlineStr">
        <is>
          <t>ÖSTERGÖTLANDS LÄN</t>
        </is>
      </c>
      <c r="E4624" t="inlineStr">
        <is>
          <t>SÖDERKÖPING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54465-2022</t>
        </is>
      </c>
      <c r="B4625" s="1" t="n">
        <v>44882</v>
      </c>
      <c r="C4625" s="1" t="n">
        <v>45192</v>
      </c>
      <c r="D4625" t="inlineStr">
        <is>
          <t>ÖSTERGÖTLANDS LÄN</t>
        </is>
      </c>
      <c r="E4625" t="inlineStr">
        <is>
          <t>LINKÖPING</t>
        </is>
      </c>
      <c r="F4625" t="inlineStr">
        <is>
          <t>Sveaskog</t>
        </is>
      </c>
      <c r="G4625" t="n">
        <v>4.5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54345-2022</t>
        </is>
      </c>
      <c r="B4626" s="1" t="n">
        <v>44882</v>
      </c>
      <c r="C4626" s="1" t="n">
        <v>45192</v>
      </c>
      <c r="D4626" t="inlineStr">
        <is>
          <t>ÖSTERGÖTLANDS LÄN</t>
        </is>
      </c>
      <c r="E4626" t="inlineStr">
        <is>
          <t>KINDA</t>
        </is>
      </c>
      <c r="G4626" t="n">
        <v>0.1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55406-2022</t>
        </is>
      </c>
      <c r="B4627" s="1" t="n">
        <v>44882</v>
      </c>
      <c r="C4627" s="1" t="n">
        <v>45192</v>
      </c>
      <c r="D4627" t="inlineStr">
        <is>
          <t>ÖSTERGÖTLANDS LÄN</t>
        </is>
      </c>
      <c r="E4627" t="inlineStr">
        <is>
          <t>KINDA</t>
        </is>
      </c>
      <c r="G4627" t="n">
        <v>1.3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54697-2022</t>
        </is>
      </c>
      <c r="B4628" s="1" t="n">
        <v>44883</v>
      </c>
      <c r="C4628" s="1" t="n">
        <v>45192</v>
      </c>
      <c r="D4628" t="inlineStr">
        <is>
          <t>ÖSTERGÖTLANDS LÄN</t>
        </is>
      </c>
      <c r="E4628" t="inlineStr">
        <is>
          <t>NORRKÖPING</t>
        </is>
      </c>
      <c r="G4628" t="n">
        <v>1.7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54794-2022</t>
        </is>
      </c>
      <c r="B4629" s="1" t="n">
        <v>44883</v>
      </c>
      <c r="C4629" s="1" t="n">
        <v>45192</v>
      </c>
      <c r="D4629" t="inlineStr">
        <is>
          <t>ÖSTERGÖTLANDS LÄN</t>
        </is>
      </c>
      <c r="E4629" t="inlineStr">
        <is>
          <t>VALDEMARSVIK</t>
        </is>
      </c>
      <c r="G4629" t="n">
        <v>6.5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54809-2022</t>
        </is>
      </c>
      <c r="B4630" s="1" t="n">
        <v>44883</v>
      </c>
      <c r="C4630" s="1" t="n">
        <v>45192</v>
      </c>
      <c r="D4630" t="inlineStr">
        <is>
          <t>ÖSTERGÖTLANDS LÄN</t>
        </is>
      </c>
      <c r="E4630" t="inlineStr">
        <is>
          <t>VALDEMARSVIK</t>
        </is>
      </c>
      <c r="G4630" t="n">
        <v>3.6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54810-2022</t>
        </is>
      </c>
      <c r="B4631" s="1" t="n">
        <v>44883</v>
      </c>
      <c r="C4631" s="1" t="n">
        <v>45192</v>
      </c>
      <c r="D4631" t="inlineStr">
        <is>
          <t>ÖSTERGÖTLANDS LÄN</t>
        </is>
      </c>
      <c r="E4631" t="inlineStr">
        <is>
          <t>VALDEMARSVIK</t>
        </is>
      </c>
      <c r="G4631" t="n">
        <v>2.7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54787-2022</t>
        </is>
      </c>
      <c r="B4632" s="1" t="n">
        <v>44883</v>
      </c>
      <c r="C4632" s="1" t="n">
        <v>45192</v>
      </c>
      <c r="D4632" t="inlineStr">
        <is>
          <t>ÖSTERGÖTLANDS LÄN</t>
        </is>
      </c>
      <c r="E4632" t="inlineStr">
        <is>
          <t>SÖDERKÖPING</t>
        </is>
      </c>
      <c r="G4632" t="n">
        <v>2.8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54806-2022</t>
        </is>
      </c>
      <c r="B4633" s="1" t="n">
        <v>44883</v>
      </c>
      <c r="C4633" s="1" t="n">
        <v>45192</v>
      </c>
      <c r="D4633" t="inlineStr">
        <is>
          <t>ÖSTERGÖTLANDS LÄN</t>
        </is>
      </c>
      <c r="E4633" t="inlineStr">
        <is>
          <t>VALDEMARSVIK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54812-2022</t>
        </is>
      </c>
      <c r="B4634" s="1" t="n">
        <v>44883</v>
      </c>
      <c r="C4634" s="1" t="n">
        <v>45192</v>
      </c>
      <c r="D4634" t="inlineStr">
        <is>
          <t>ÖSTERGÖTLANDS LÄN</t>
        </is>
      </c>
      <c r="E4634" t="inlineStr">
        <is>
          <t>VALDEMARSVIK</t>
        </is>
      </c>
      <c r="G4634" t="n">
        <v>0.4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54854-2022</t>
        </is>
      </c>
      <c r="B4635" s="1" t="n">
        <v>44884</v>
      </c>
      <c r="C4635" s="1" t="n">
        <v>45192</v>
      </c>
      <c r="D4635" t="inlineStr">
        <is>
          <t>ÖSTERGÖTLANDS LÄN</t>
        </is>
      </c>
      <c r="E4635" t="inlineStr">
        <is>
          <t>LINKÖPING</t>
        </is>
      </c>
      <c r="G4635" t="n">
        <v>1.8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54953-2022</t>
        </is>
      </c>
      <c r="B4636" s="1" t="n">
        <v>44886</v>
      </c>
      <c r="C4636" s="1" t="n">
        <v>45192</v>
      </c>
      <c r="D4636" t="inlineStr">
        <is>
          <t>ÖSTERGÖTLANDS LÄN</t>
        </is>
      </c>
      <c r="E4636" t="inlineStr">
        <is>
          <t>KINDA</t>
        </is>
      </c>
      <c r="G4636" t="n">
        <v>3.7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54872-2022</t>
        </is>
      </c>
      <c r="B4637" s="1" t="n">
        <v>44886</v>
      </c>
      <c r="C4637" s="1" t="n">
        <v>45192</v>
      </c>
      <c r="D4637" t="inlineStr">
        <is>
          <t>ÖSTERGÖTLANDS LÄN</t>
        </is>
      </c>
      <c r="E4637" t="inlineStr">
        <is>
          <t>KINDA</t>
        </is>
      </c>
      <c r="G4637" t="n">
        <v>1.1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54909-2022</t>
        </is>
      </c>
      <c r="B4638" s="1" t="n">
        <v>44886</v>
      </c>
      <c r="C4638" s="1" t="n">
        <v>45192</v>
      </c>
      <c r="D4638" t="inlineStr">
        <is>
          <t>ÖSTERGÖTLANDS LÄN</t>
        </is>
      </c>
      <c r="E4638" t="inlineStr">
        <is>
          <t>KINDA</t>
        </is>
      </c>
      <c r="G4638" t="n">
        <v>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55183-2022</t>
        </is>
      </c>
      <c r="B4639" s="1" t="n">
        <v>44886</v>
      </c>
      <c r="C4639" s="1" t="n">
        <v>45192</v>
      </c>
      <c r="D4639" t="inlineStr">
        <is>
          <t>ÖSTERGÖTLANDS LÄN</t>
        </is>
      </c>
      <c r="E4639" t="inlineStr">
        <is>
          <t>BOXHOLM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56264-2022</t>
        </is>
      </c>
      <c r="B4640" s="1" t="n">
        <v>44887</v>
      </c>
      <c r="C4640" s="1" t="n">
        <v>45192</v>
      </c>
      <c r="D4640" t="inlineStr">
        <is>
          <t>ÖSTERGÖTLANDS LÄN</t>
        </is>
      </c>
      <c r="E4640" t="inlineStr">
        <is>
          <t>FINSPÅNG</t>
        </is>
      </c>
      <c r="G4640" t="n">
        <v>1.2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56288-2022</t>
        </is>
      </c>
      <c r="B4641" s="1" t="n">
        <v>44887</v>
      </c>
      <c r="C4641" s="1" t="n">
        <v>45192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56309-2022</t>
        </is>
      </c>
      <c r="B4642" s="1" t="n">
        <v>44887</v>
      </c>
      <c r="C4642" s="1" t="n">
        <v>45192</v>
      </c>
      <c r="D4642" t="inlineStr">
        <is>
          <t>ÖSTERGÖTLANDS LÄN</t>
        </is>
      </c>
      <c r="E4642" t="inlineStr">
        <is>
          <t>FINSPÅNG</t>
        </is>
      </c>
      <c r="G4642" t="n">
        <v>0.5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55395-2022</t>
        </is>
      </c>
      <c r="B4643" s="1" t="n">
        <v>44887</v>
      </c>
      <c r="C4643" s="1" t="n">
        <v>45192</v>
      </c>
      <c r="D4643" t="inlineStr">
        <is>
          <t>ÖSTERGÖTLANDS LÄN</t>
        </is>
      </c>
      <c r="E4643" t="inlineStr">
        <is>
          <t>MOTALA</t>
        </is>
      </c>
      <c r="G4643" t="n">
        <v>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56246-2022</t>
        </is>
      </c>
      <c r="B4644" s="1" t="n">
        <v>44887</v>
      </c>
      <c r="C4644" s="1" t="n">
        <v>45192</v>
      </c>
      <c r="D4644" t="inlineStr">
        <is>
          <t>ÖSTERGÖTLANDS LÄN</t>
        </is>
      </c>
      <c r="E4644" t="inlineStr">
        <is>
          <t>FINSPÅNG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55702-2022</t>
        </is>
      </c>
      <c r="B4645" s="1" t="n">
        <v>44888</v>
      </c>
      <c r="C4645" s="1" t="n">
        <v>45192</v>
      </c>
      <c r="D4645" t="inlineStr">
        <is>
          <t>ÖSTERGÖTLANDS LÄN</t>
        </is>
      </c>
      <c r="E4645" t="inlineStr">
        <is>
          <t>ÅTVIDABERG</t>
        </is>
      </c>
      <c r="G4645" t="n">
        <v>0.8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55736-2022</t>
        </is>
      </c>
      <c r="B4646" s="1" t="n">
        <v>44888</v>
      </c>
      <c r="C4646" s="1" t="n">
        <v>45192</v>
      </c>
      <c r="D4646" t="inlineStr">
        <is>
          <t>ÖSTERGÖTLANDS LÄN</t>
        </is>
      </c>
      <c r="E4646" t="inlineStr">
        <is>
          <t>LINKÖPING</t>
        </is>
      </c>
      <c r="G4646" t="n">
        <v>5.5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55853-2022</t>
        </is>
      </c>
      <c r="B4647" s="1" t="n">
        <v>44888</v>
      </c>
      <c r="C4647" s="1" t="n">
        <v>45192</v>
      </c>
      <c r="D4647" t="inlineStr">
        <is>
          <t>ÖSTERGÖTLANDS LÄN</t>
        </is>
      </c>
      <c r="E4647" t="inlineStr">
        <is>
          <t>SÖDERKÖPING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55632-2022</t>
        </is>
      </c>
      <c r="B4648" s="1" t="n">
        <v>44888</v>
      </c>
      <c r="C4648" s="1" t="n">
        <v>45192</v>
      </c>
      <c r="D4648" t="inlineStr">
        <is>
          <t>ÖSTERGÖTLANDS LÄN</t>
        </is>
      </c>
      <c r="E4648" t="inlineStr">
        <is>
          <t>LINKÖPING</t>
        </is>
      </c>
      <c r="G4648" t="n">
        <v>1.8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55730-2022</t>
        </is>
      </c>
      <c r="B4649" s="1" t="n">
        <v>44888</v>
      </c>
      <c r="C4649" s="1" t="n">
        <v>45192</v>
      </c>
      <c r="D4649" t="inlineStr">
        <is>
          <t>ÖSTERGÖTLANDS LÄN</t>
        </is>
      </c>
      <c r="E4649" t="inlineStr">
        <is>
          <t>MJÖLBY</t>
        </is>
      </c>
      <c r="G4649" t="n">
        <v>1.1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55851-2022</t>
        </is>
      </c>
      <c r="B4650" s="1" t="n">
        <v>44888</v>
      </c>
      <c r="C4650" s="1" t="n">
        <v>45192</v>
      </c>
      <c r="D4650" t="inlineStr">
        <is>
          <t>ÖSTERGÖTLANDS LÄN</t>
        </is>
      </c>
      <c r="E4650" t="inlineStr">
        <is>
          <t>SÖDERKÖPING</t>
        </is>
      </c>
      <c r="G4650" t="n">
        <v>2.3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55949-2022</t>
        </is>
      </c>
      <c r="B4651" s="1" t="n">
        <v>44889</v>
      </c>
      <c r="C4651" s="1" t="n">
        <v>45192</v>
      </c>
      <c r="D4651" t="inlineStr">
        <is>
          <t>ÖSTERGÖTLANDS LÄN</t>
        </is>
      </c>
      <c r="E4651" t="inlineStr">
        <is>
          <t>NORRKÖPING</t>
        </is>
      </c>
      <c r="G4651" t="n">
        <v>8.5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55954-2022</t>
        </is>
      </c>
      <c r="B4652" s="1" t="n">
        <v>44889</v>
      </c>
      <c r="C4652" s="1" t="n">
        <v>45192</v>
      </c>
      <c r="D4652" t="inlineStr">
        <is>
          <t>ÖSTERGÖTLANDS LÄN</t>
        </is>
      </c>
      <c r="E4652" t="inlineStr">
        <is>
          <t>NORRKÖPING</t>
        </is>
      </c>
      <c r="G4652" t="n">
        <v>1.6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56058-2022</t>
        </is>
      </c>
      <c r="B4653" s="1" t="n">
        <v>44889</v>
      </c>
      <c r="C4653" s="1" t="n">
        <v>45192</v>
      </c>
      <c r="D4653" t="inlineStr">
        <is>
          <t>ÖSTERGÖTLANDS LÄN</t>
        </is>
      </c>
      <c r="E4653" t="inlineStr">
        <is>
          <t>FINSPÅNG</t>
        </is>
      </c>
      <c r="G4653" t="n">
        <v>2.8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55951-2022</t>
        </is>
      </c>
      <c r="B4654" s="1" t="n">
        <v>44889</v>
      </c>
      <c r="C4654" s="1" t="n">
        <v>45192</v>
      </c>
      <c r="D4654" t="inlineStr">
        <is>
          <t>ÖSTERGÖTLANDS LÄN</t>
        </is>
      </c>
      <c r="E4654" t="inlineStr">
        <is>
          <t>NORRKÖPING</t>
        </is>
      </c>
      <c r="G4654" t="n">
        <v>4.1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55953-2022</t>
        </is>
      </c>
      <c r="B4655" s="1" t="n">
        <v>44889</v>
      </c>
      <c r="C4655" s="1" t="n">
        <v>45192</v>
      </c>
      <c r="D4655" t="inlineStr">
        <is>
          <t>ÖSTERGÖTLANDS LÄN</t>
        </is>
      </c>
      <c r="E4655" t="inlineStr">
        <is>
          <t>NORRKÖPING</t>
        </is>
      </c>
      <c r="G4655" t="n">
        <v>3.7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56057-2022</t>
        </is>
      </c>
      <c r="B4656" s="1" t="n">
        <v>44889</v>
      </c>
      <c r="C4656" s="1" t="n">
        <v>45192</v>
      </c>
      <c r="D4656" t="inlineStr">
        <is>
          <t>ÖSTERGÖTLANDS LÄN</t>
        </is>
      </c>
      <c r="E4656" t="inlineStr">
        <is>
          <t>FINSPÅNG</t>
        </is>
      </c>
      <c r="G4656" t="n">
        <v>1.1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55941-2022</t>
        </is>
      </c>
      <c r="B4657" s="1" t="n">
        <v>44889</v>
      </c>
      <c r="C4657" s="1" t="n">
        <v>45192</v>
      </c>
      <c r="D4657" t="inlineStr">
        <is>
          <t>ÖSTERGÖTLANDS LÄN</t>
        </is>
      </c>
      <c r="E4657" t="inlineStr">
        <is>
          <t>NORRKÖPING</t>
        </is>
      </c>
      <c r="G4657" t="n">
        <v>3.1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55964-2022</t>
        </is>
      </c>
      <c r="B4658" s="1" t="n">
        <v>44889</v>
      </c>
      <c r="C4658" s="1" t="n">
        <v>45192</v>
      </c>
      <c r="D4658" t="inlineStr">
        <is>
          <t>ÖSTERGÖTLANDS LÄN</t>
        </is>
      </c>
      <c r="E4658" t="inlineStr">
        <is>
          <t>VALDEMARSVIK</t>
        </is>
      </c>
      <c r="G4658" t="n">
        <v>1.1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56056-2022</t>
        </is>
      </c>
      <c r="B4659" s="1" t="n">
        <v>44889</v>
      </c>
      <c r="C4659" s="1" t="n">
        <v>45192</v>
      </c>
      <c r="D4659" t="inlineStr">
        <is>
          <t>ÖSTERGÖTLANDS LÄN</t>
        </is>
      </c>
      <c r="E4659" t="inlineStr">
        <is>
          <t>FINSPÅNG</t>
        </is>
      </c>
      <c r="G4659" t="n">
        <v>1.5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56062-2022</t>
        </is>
      </c>
      <c r="B4660" s="1" t="n">
        <v>44889</v>
      </c>
      <c r="C4660" s="1" t="n">
        <v>45192</v>
      </c>
      <c r="D4660" t="inlineStr">
        <is>
          <t>ÖSTERGÖTLANDS LÄN</t>
        </is>
      </c>
      <c r="E4660" t="inlineStr">
        <is>
          <t>LINKÖPING</t>
        </is>
      </c>
      <c r="F4660" t="inlineStr">
        <is>
          <t>Sveaskog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56213-2022</t>
        </is>
      </c>
      <c r="B4661" s="1" t="n">
        <v>44890</v>
      </c>
      <c r="C4661" s="1" t="n">
        <v>45192</v>
      </c>
      <c r="D4661" t="inlineStr">
        <is>
          <t>ÖSTERGÖTLANDS LÄN</t>
        </is>
      </c>
      <c r="E4661" t="inlineStr">
        <is>
          <t>SÖDERKÖPING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56238-2022</t>
        </is>
      </c>
      <c r="B4662" s="1" t="n">
        <v>44890</v>
      </c>
      <c r="C4662" s="1" t="n">
        <v>45192</v>
      </c>
      <c r="D4662" t="inlineStr">
        <is>
          <t>ÖSTERGÖTLANDS LÄN</t>
        </is>
      </c>
      <c r="E4662" t="inlineStr">
        <is>
          <t>SÖDERKÖPING</t>
        </is>
      </c>
      <c r="G4662" t="n">
        <v>0.7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56387-2022</t>
        </is>
      </c>
      <c r="B4663" s="1" t="n">
        <v>44890</v>
      </c>
      <c r="C4663" s="1" t="n">
        <v>45192</v>
      </c>
      <c r="D4663" t="inlineStr">
        <is>
          <t>ÖSTERGÖTLANDS LÄN</t>
        </is>
      </c>
      <c r="E4663" t="inlineStr">
        <is>
          <t>FINSPÅNG</t>
        </is>
      </c>
      <c r="G4663" t="n">
        <v>18.5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56199-2022</t>
        </is>
      </c>
      <c r="B4664" s="1" t="n">
        <v>44890</v>
      </c>
      <c r="C4664" s="1" t="n">
        <v>45192</v>
      </c>
      <c r="D4664" t="inlineStr">
        <is>
          <t>ÖSTERGÖTLANDS LÄN</t>
        </is>
      </c>
      <c r="E4664" t="inlineStr">
        <is>
          <t>FINSPÅNG</t>
        </is>
      </c>
      <c r="G4664" t="n">
        <v>3.2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56331-2022</t>
        </is>
      </c>
      <c r="B4665" s="1" t="n">
        <v>44890</v>
      </c>
      <c r="C4665" s="1" t="n">
        <v>45192</v>
      </c>
      <c r="D4665" t="inlineStr">
        <is>
          <t>ÖSTERGÖTLANDS LÄN</t>
        </is>
      </c>
      <c r="E4665" t="inlineStr">
        <is>
          <t>NORRKÖPING</t>
        </is>
      </c>
      <c r="F4665" t="inlineStr">
        <is>
          <t>Holmen skog AB</t>
        </is>
      </c>
      <c r="G4665" t="n">
        <v>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56335-2022</t>
        </is>
      </c>
      <c r="B4666" s="1" t="n">
        <v>44890</v>
      </c>
      <c r="C4666" s="1" t="n">
        <v>45192</v>
      </c>
      <c r="D4666" t="inlineStr">
        <is>
          <t>ÖSTERGÖTLANDS LÄN</t>
        </is>
      </c>
      <c r="E4666" t="inlineStr">
        <is>
          <t>KINDA</t>
        </is>
      </c>
      <c r="F4666" t="inlineStr">
        <is>
          <t>Kyrkan</t>
        </is>
      </c>
      <c r="G4666" t="n">
        <v>2.8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56219-2022</t>
        </is>
      </c>
      <c r="B4667" s="1" t="n">
        <v>44890</v>
      </c>
      <c r="C4667" s="1" t="n">
        <v>45192</v>
      </c>
      <c r="D4667" t="inlineStr">
        <is>
          <t>ÖSTERGÖTLANDS LÄN</t>
        </is>
      </c>
      <c r="E4667" t="inlineStr">
        <is>
          <t>SÖDERKÖPING</t>
        </is>
      </c>
      <c r="G4667" t="n">
        <v>0.4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56383-2022</t>
        </is>
      </c>
      <c r="B4668" s="1" t="n">
        <v>44890</v>
      </c>
      <c r="C4668" s="1" t="n">
        <v>45192</v>
      </c>
      <c r="D4668" t="inlineStr">
        <is>
          <t>ÖSTERGÖTLANDS LÄN</t>
        </is>
      </c>
      <c r="E4668" t="inlineStr">
        <is>
          <t>FINSPÅNG</t>
        </is>
      </c>
      <c r="G4668" t="n">
        <v>5.2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56425-2022</t>
        </is>
      </c>
      <c r="B4669" s="1" t="n">
        <v>44891</v>
      </c>
      <c r="C4669" s="1" t="n">
        <v>45192</v>
      </c>
      <c r="D4669" t="inlineStr">
        <is>
          <t>ÖSTERGÖTLANDS LÄN</t>
        </is>
      </c>
      <c r="E4669" t="inlineStr">
        <is>
          <t>FINSPÅNG</t>
        </is>
      </c>
      <c r="G4669" t="n">
        <v>0.6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58344-2022</t>
        </is>
      </c>
      <c r="B4670" s="1" t="n">
        <v>44893</v>
      </c>
      <c r="C4670" s="1" t="n">
        <v>45192</v>
      </c>
      <c r="D4670" t="inlineStr">
        <is>
          <t>ÖSTERGÖTLANDS LÄN</t>
        </is>
      </c>
      <c r="E4670" t="inlineStr">
        <is>
          <t>MOTALA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58341-2022</t>
        </is>
      </c>
      <c r="B4671" s="1" t="n">
        <v>44893</v>
      </c>
      <c r="C4671" s="1" t="n">
        <v>45192</v>
      </c>
      <c r="D4671" t="inlineStr">
        <is>
          <t>ÖSTERGÖTLANDS LÄN</t>
        </is>
      </c>
      <c r="E4671" t="inlineStr">
        <is>
          <t>MOTALA</t>
        </is>
      </c>
      <c r="G4671" t="n">
        <v>0.9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58262-2022</t>
        </is>
      </c>
      <c r="B4672" s="1" t="n">
        <v>44894</v>
      </c>
      <c r="C4672" s="1" t="n">
        <v>45192</v>
      </c>
      <c r="D4672" t="inlineStr">
        <is>
          <t>ÖSTERGÖTLANDS LÄN</t>
        </is>
      </c>
      <c r="E4672" t="inlineStr">
        <is>
          <t>VALDEMARSVIK</t>
        </is>
      </c>
      <c r="G4672" t="n">
        <v>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56917-2022</t>
        </is>
      </c>
      <c r="B4673" s="1" t="n">
        <v>44894</v>
      </c>
      <c r="C4673" s="1" t="n">
        <v>45192</v>
      </c>
      <c r="D4673" t="inlineStr">
        <is>
          <t>ÖSTERGÖTLANDS LÄN</t>
        </is>
      </c>
      <c r="E4673" t="inlineStr">
        <is>
          <t>LINKÖPING</t>
        </is>
      </c>
      <c r="G4673" t="n">
        <v>2.2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57191-2022</t>
        </is>
      </c>
      <c r="B4674" s="1" t="n">
        <v>44895</v>
      </c>
      <c r="C4674" s="1" t="n">
        <v>45192</v>
      </c>
      <c r="D4674" t="inlineStr">
        <is>
          <t>ÖSTERGÖTLANDS LÄN</t>
        </is>
      </c>
      <c r="E4674" t="inlineStr">
        <is>
          <t>SÖDERKÖPING</t>
        </is>
      </c>
      <c r="G4674" t="n">
        <v>0.8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57502-2022</t>
        </is>
      </c>
      <c r="B4675" s="1" t="n">
        <v>44896</v>
      </c>
      <c r="C4675" s="1" t="n">
        <v>45192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57413-2022</t>
        </is>
      </c>
      <c r="B4676" s="1" t="n">
        <v>44896</v>
      </c>
      <c r="C4676" s="1" t="n">
        <v>45192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57493-2022</t>
        </is>
      </c>
      <c r="B4677" s="1" t="n">
        <v>44896</v>
      </c>
      <c r="C4677" s="1" t="n">
        <v>45192</v>
      </c>
      <c r="D4677" t="inlineStr">
        <is>
          <t>ÖSTERGÖTLANDS LÄN</t>
        </is>
      </c>
      <c r="E4677" t="inlineStr">
        <is>
          <t>NORRKÖPING</t>
        </is>
      </c>
      <c r="F4677" t="inlineStr">
        <is>
          <t>Holmen skog AB</t>
        </is>
      </c>
      <c r="G4677" t="n">
        <v>5.2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57513-2022</t>
        </is>
      </c>
      <c r="B4678" s="1" t="n">
        <v>44896</v>
      </c>
      <c r="C4678" s="1" t="n">
        <v>45192</v>
      </c>
      <c r="D4678" t="inlineStr">
        <is>
          <t>ÖSTERGÖTLANDS LÄN</t>
        </is>
      </c>
      <c r="E4678" t="inlineStr">
        <is>
          <t>VALDEMARSVIK</t>
        </is>
      </c>
      <c r="G4678" t="n">
        <v>5.6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57680-2022</t>
        </is>
      </c>
      <c r="B4679" s="1" t="n">
        <v>44897</v>
      </c>
      <c r="C4679" s="1" t="n">
        <v>45192</v>
      </c>
      <c r="D4679" t="inlineStr">
        <is>
          <t>ÖSTERGÖTLANDS LÄN</t>
        </is>
      </c>
      <c r="E4679" t="inlineStr">
        <is>
          <t>VALDEMARSVIK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57772-2022</t>
        </is>
      </c>
      <c r="B4680" s="1" t="n">
        <v>44897</v>
      </c>
      <c r="C4680" s="1" t="n">
        <v>45192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57854-2022</t>
        </is>
      </c>
      <c r="B4681" s="1" t="n">
        <v>44898</v>
      </c>
      <c r="C4681" s="1" t="n">
        <v>45192</v>
      </c>
      <c r="D4681" t="inlineStr">
        <is>
          <t>ÖSTERGÖTLANDS LÄN</t>
        </is>
      </c>
      <c r="E4681" t="inlineStr">
        <is>
          <t>FINSPÅNG</t>
        </is>
      </c>
      <c r="G4681" t="n">
        <v>0.2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57888-2022</t>
        </is>
      </c>
      <c r="B4682" s="1" t="n">
        <v>44900</v>
      </c>
      <c r="C4682" s="1" t="n">
        <v>45192</v>
      </c>
      <c r="D4682" t="inlineStr">
        <is>
          <t>ÖSTERGÖTLANDS LÄN</t>
        </is>
      </c>
      <c r="E4682" t="inlineStr">
        <is>
          <t>SÖDERKÖPING</t>
        </is>
      </c>
      <c r="G4682" t="n">
        <v>1.4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57979-2022</t>
        </is>
      </c>
      <c r="B4683" s="1" t="n">
        <v>44900</v>
      </c>
      <c r="C4683" s="1" t="n">
        <v>45192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58979-2022</t>
        </is>
      </c>
      <c r="B4684" s="1" t="n">
        <v>44903</v>
      </c>
      <c r="C4684" s="1" t="n">
        <v>45192</v>
      </c>
      <c r="D4684" t="inlineStr">
        <is>
          <t>ÖSTERGÖTLANDS LÄN</t>
        </is>
      </c>
      <c r="E4684" t="inlineStr">
        <is>
          <t>VALDEMARSVIK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58800-2022</t>
        </is>
      </c>
      <c r="B4685" s="1" t="n">
        <v>44903</v>
      </c>
      <c r="C4685" s="1" t="n">
        <v>45192</v>
      </c>
      <c r="D4685" t="inlineStr">
        <is>
          <t>ÖSTERGÖTLANDS LÄN</t>
        </is>
      </c>
      <c r="E4685" t="inlineStr">
        <is>
          <t>MJÖLBY</t>
        </is>
      </c>
      <c r="G4685" t="n">
        <v>3.1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58831-2022</t>
        </is>
      </c>
      <c r="B4686" s="1" t="n">
        <v>44903</v>
      </c>
      <c r="C4686" s="1" t="n">
        <v>45192</v>
      </c>
      <c r="D4686" t="inlineStr">
        <is>
          <t>ÖSTERGÖTLANDS LÄN</t>
        </is>
      </c>
      <c r="E4686" t="inlineStr">
        <is>
          <t>YDRE</t>
        </is>
      </c>
      <c r="G4686" t="n">
        <v>3.7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58798-2022</t>
        </is>
      </c>
      <c r="B4687" s="1" t="n">
        <v>44903</v>
      </c>
      <c r="C4687" s="1" t="n">
        <v>45192</v>
      </c>
      <c r="D4687" t="inlineStr">
        <is>
          <t>ÖSTERGÖTLANDS LÄN</t>
        </is>
      </c>
      <c r="E4687" t="inlineStr">
        <is>
          <t>MJÖLBY</t>
        </is>
      </c>
      <c r="G4687" t="n">
        <v>4.8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58925-2022</t>
        </is>
      </c>
      <c r="B4688" s="1" t="n">
        <v>44903</v>
      </c>
      <c r="C4688" s="1" t="n">
        <v>45192</v>
      </c>
      <c r="D4688" t="inlineStr">
        <is>
          <t>ÖSTERGÖTLANDS LÄN</t>
        </is>
      </c>
      <c r="E4688" t="inlineStr">
        <is>
          <t>SÖDERKÖPING</t>
        </is>
      </c>
      <c r="G4688" t="n">
        <v>6.7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59058-2022</t>
        </is>
      </c>
      <c r="B4689" s="1" t="n">
        <v>44904</v>
      </c>
      <c r="C4689" s="1" t="n">
        <v>45192</v>
      </c>
      <c r="D4689" t="inlineStr">
        <is>
          <t>ÖSTERGÖTLANDS LÄN</t>
        </is>
      </c>
      <c r="E4689" t="inlineStr">
        <is>
          <t>SÖDERKÖPING</t>
        </is>
      </c>
      <c r="G4689" t="n">
        <v>1.5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59125-2022</t>
        </is>
      </c>
      <c r="B4690" s="1" t="n">
        <v>44904</v>
      </c>
      <c r="C4690" s="1" t="n">
        <v>45192</v>
      </c>
      <c r="D4690" t="inlineStr">
        <is>
          <t>ÖSTERGÖTLANDS LÄN</t>
        </is>
      </c>
      <c r="E4690" t="inlineStr">
        <is>
          <t>BOXHOLM</t>
        </is>
      </c>
      <c r="G4690" t="n">
        <v>0.8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59234-2022</t>
        </is>
      </c>
      <c r="B4691" s="1" t="n">
        <v>44904</v>
      </c>
      <c r="C4691" s="1" t="n">
        <v>45192</v>
      </c>
      <c r="D4691" t="inlineStr">
        <is>
          <t>ÖSTERGÖTLANDS LÄN</t>
        </is>
      </c>
      <c r="E4691" t="inlineStr">
        <is>
          <t>MJÖLBY</t>
        </is>
      </c>
      <c r="F4691" t="inlineStr">
        <is>
          <t>Övriga Aktiebolag</t>
        </is>
      </c>
      <c r="G4691" t="n">
        <v>2.5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59061-2022</t>
        </is>
      </c>
      <c r="B4692" s="1" t="n">
        <v>44904</v>
      </c>
      <c r="C4692" s="1" t="n">
        <v>45192</v>
      </c>
      <c r="D4692" t="inlineStr">
        <is>
          <t>ÖSTERGÖTLANDS LÄN</t>
        </is>
      </c>
      <c r="E4692" t="inlineStr">
        <is>
          <t>SÖDERKÖPING</t>
        </is>
      </c>
      <c r="G4692" t="n">
        <v>2.6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59411-2022</t>
        </is>
      </c>
      <c r="B4693" s="1" t="n">
        <v>44907</v>
      </c>
      <c r="C4693" s="1" t="n">
        <v>45192</v>
      </c>
      <c r="D4693" t="inlineStr">
        <is>
          <t>ÖSTERGÖTLANDS LÄN</t>
        </is>
      </c>
      <c r="E4693" t="inlineStr">
        <is>
          <t>MJÖLBY</t>
        </is>
      </c>
      <c r="F4693" t="inlineStr">
        <is>
          <t>Övriga Aktiebolag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59570-2022</t>
        </is>
      </c>
      <c r="B4694" s="1" t="n">
        <v>44907</v>
      </c>
      <c r="C4694" s="1" t="n">
        <v>45192</v>
      </c>
      <c r="D4694" t="inlineStr">
        <is>
          <t>ÖSTERGÖTLANDS LÄN</t>
        </is>
      </c>
      <c r="E4694" t="inlineStr">
        <is>
          <t>MOTALA</t>
        </is>
      </c>
      <c r="G4694" t="n">
        <v>1.5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59410-2022</t>
        </is>
      </c>
      <c r="B4695" s="1" t="n">
        <v>44907</v>
      </c>
      <c r="C4695" s="1" t="n">
        <v>45192</v>
      </c>
      <c r="D4695" t="inlineStr">
        <is>
          <t>ÖSTERGÖTLANDS LÄN</t>
        </is>
      </c>
      <c r="E4695" t="inlineStr">
        <is>
          <t>MJÖLBY</t>
        </is>
      </c>
      <c r="F4695" t="inlineStr">
        <is>
          <t>Övriga Aktiebolag</t>
        </is>
      </c>
      <c r="G4695" t="n">
        <v>1.3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59573-2022</t>
        </is>
      </c>
      <c r="B4696" s="1" t="n">
        <v>44907</v>
      </c>
      <c r="C4696" s="1" t="n">
        <v>45192</v>
      </c>
      <c r="D4696" t="inlineStr">
        <is>
          <t>ÖSTERGÖTLANDS LÄN</t>
        </is>
      </c>
      <c r="E4696" t="inlineStr">
        <is>
          <t>KINDA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59658-2022</t>
        </is>
      </c>
      <c r="B4697" s="1" t="n">
        <v>44908</v>
      </c>
      <c r="C4697" s="1" t="n">
        <v>45192</v>
      </c>
      <c r="D4697" t="inlineStr">
        <is>
          <t>ÖSTERGÖTLANDS LÄN</t>
        </is>
      </c>
      <c r="E4697" t="inlineStr">
        <is>
          <t>BOXHOLM</t>
        </is>
      </c>
      <c r="F4697" t="inlineStr">
        <is>
          <t>Övriga Aktiebolag</t>
        </is>
      </c>
      <c r="G4697" t="n">
        <v>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60917-2022</t>
        </is>
      </c>
      <c r="B4698" s="1" t="n">
        <v>44908</v>
      </c>
      <c r="C4698" s="1" t="n">
        <v>45192</v>
      </c>
      <c r="D4698" t="inlineStr">
        <is>
          <t>ÖSTERGÖTLANDS LÄN</t>
        </is>
      </c>
      <c r="E4698" t="inlineStr">
        <is>
          <t>MJÖLBY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59774-2022</t>
        </is>
      </c>
      <c r="B4699" s="1" t="n">
        <v>44908</v>
      </c>
      <c r="C4699" s="1" t="n">
        <v>45192</v>
      </c>
      <c r="D4699" t="inlineStr">
        <is>
          <t>ÖSTERGÖTLANDS LÄN</t>
        </is>
      </c>
      <c r="E4699" t="inlineStr">
        <is>
          <t>BOXHOLM</t>
        </is>
      </c>
      <c r="F4699" t="inlineStr">
        <is>
          <t>Övriga Aktiebolag</t>
        </is>
      </c>
      <c r="G4699" t="n">
        <v>5.8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59887-2022</t>
        </is>
      </c>
      <c r="B4700" s="1" t="n">
        <v>44908</v>
      </c>
      <c r="C4700" s="1" t="n">
        <v>45192</v>
      </c>
      <c r="D4700" t="inlineStr">
        <is>
          <t>ÖSTERGÖTLANDS LÄN</t>
        </is>
      </c>
      <c r="E4700" t="inlineStr">
        <is>
          <t>NORRKÖPING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59948-2022</t>
        </is>
      </c>
      <c r="B4701" s="1" t="n">
        <v>44909</v>
      </c>
      <c r="C4701" s="1" t="n">
        <v>45192</v>
      </c>
      <c r="D4701" t="inlineStr">
        <is>
          <t>ÖSTERGÖTLANDS LÄN</t>
        </is>
      </c>
      <c r="E4701" t="inlineStr">
        <is>
          <t>LINKÖPING</t>
        </is>
      </c>
      <c r="G4701" t="n">
        <v>6.7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61433-2022</t>
        </is>
      </c>
      <c r="B4702" s="1" t="n">
        <v>44909</v>
      </c>
      <c r="C4702" s="1" t="n">
        <v>45192</v>
      </c>
      <c r="D4702" t="inlineStr">
        <is>
          <t>ÖSTERGÖTLANDS LÄN</t>
        </is>
      </c>
      <c r="E4702" t="inlineStr">
        <is>
          <t>MJÖLBY</t>
        </is>
      </c>
      <c r="G4702" t="n">
        <v>3.2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60233-2022</t>
        </is>
      </c>
      <c r="B4703" s="1" t="n">
        <v>44910</v>
      </c>
      <c r="C4703" s="1" t="n">
        <v>45192</v>
      </c>
      <c r="D4703" t="inlineStr">
        <is>
          <t>ÖSTERGÖTLANDS LÄN</t>
        </is>
      </c>
      <c r="E4703" t="inlineStr">
        <is>
          <t>NORRKÖPING</t>
        </is>
      </c>
      <c r="F4703" t="inlineStr">
        <is>
          <t>Holmen skog AB</t>
        </is>
      </c>
      <c r="G4703" t="n">
        <v>0.6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60596-2022</t>
        </is>
      </c>
      <c r="B4704" s="1" t="n">
        <v>44911</v>
      </c>
      <c r="C4704" s="1" t="n">
        <v>45192</v>
      </c>
      <c r="D4704" t="inlineStr">
        <is>
          <t>ÖSTERGÖTLANDS LÄN</t>
        </is>
      </c>
      <c r="E4704" t="inlineStr">
        <is>
          <t>SÖDERKÖPING</t>
        </is>
      </c>
      <c r="G4704" t="n">
        <v>1.6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60571-2022</t>
        </is>
      </c>
      <c r="B4705" s="1" t="n">
        <v>44911</v>
      </c>
      <c r="C4705" s="1" t="n">
        <v>45192</v>
      </c>
      <c r="D4705" t="inlineStr">
        <is>
          <t>ÖSTERGÖTLANDS LÄN</t>
        </is>
      </c>
      <c r="E4705" t="inlineStr">
        <is>
          <t>SÖDERKÖPING</t>
        </is>
      </c>
      <c r="G4705" t="n">
        <v>5.6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60605-2022</t>
        </is>
      </c>
      <c r="B4706" s="1" t="n">
        <v>44911</v>
      </c>
      <c r="C4706" s="1" t="n">
        <v>45192</v>
      </c>
      <c r="D4706" t="inlineStr">
        <is>
          <t>ÖSTERGÖTLANDS LÄN</t>
        </is>
      </c>
      <c r="E4706" t="inlineStr">
        <is>
          <t>SÖDERKÖPING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60603-2022</t>
        </is>
      </c>
      <c r="B4707" s="1" t="n">
        <v>44911</v>
      </c>
      <c r="C4707" s="1" t="n">
        <v>45192</v>
      </c>
      <c r="D4707" t="inlineStr">
        <is>
          <t>ÖSTERGÖTLANDS LÄN</t>
        </is>
      </c>
      <c r="E4707" t="inlineStr">
        <is>
          <t>MOTALA</t>
        </is>
      </c>
      <c r="G4707" t="n">
        <v>1.4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60610-2022</t>
        </is>
      </c>
      <c r="B4708" s="1" t="n">
        <v>44911</v>
      </c>
      <c r="C4708" s="1" t="n">
        <v>45192</v>
      </c>
      <c r="D4708" t="inlineStr">
        <is>
          <t>ÖSTERGÖTLANDS LÄN</t>
        </is>
      </c>
      <c r="E4708" t="inlineStr">
        <is>
          <t>MOTALA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60640-2022</t>
        </is>
      </c>
      <c r="B4709" s="1" t="n">
        <v>44911</v>
      </c>
      <c r="C4709" s="1" t="n">
        <v>45192</v>
      </c>
      <c r="D4709" t="inlineStr">
        <is>
          <t>ÖSTERGÖTLANDS LÄN</t>
        </is>
      </c>
      <c r="E4709" t="inlineStr">
        <is>
          <t>SÖDERKÖPING</t>
        </is>
      </c>
      <c r="F4709" t="inlineStr">
        <is>
          <t>Allmännings- och besparingsskogar</t>
        </is>
      </c>
      <c r="G4709" t="n">
        <v>10.8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62192-2022</t>
        </is>
      </c>
      <c r="B4710" s="1" t="n">
        <v>44914</v>
      </c>
      <c r="C4710" s="1" t="n">
        <v>45192</v>
      </c>
      <c r="D4710" t="inlineStr">
        <is>
          <t>ÖSTERGÖTLANDS LÄN</t>
        </is>
      </c>
      <c r="E4710" t="inlineStr">
        <is>
          <t>BOXHOLM</t>
        </is>
      </c>
      <c r="G4710" t="n">
        <v>1.1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62195-2022</t>
        </is>
      </c>
      <c r="B4711" s="1" t="n">
        <v>44914</v>
      </c>
      <c r="C4711" s="1" t="n">
        <v>45192</v>
      </c>
      <c r="D4711" t="inlineStr">
        <is>
          <t>ÖSTERGÖTLANDS LÄN</t>
        </is>
      </c>
      <c r="E4711" t="inlineStr">
        <is>
          <t>BOXHOLM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60749-2022</t>
        </is>
      </c>
      <c r="B4712" s="1" t="n">
        <v>44914</v>
      </c>
      <c r="C4712" s="1" t="n">
        <v>45192</v>
      </c>
      <c r="D4712" t="inlineStr">
        <is>
          <t>ÖSTERGÖTLANDS LÄN</t>
        </is>
      </c>
      <c r="E4712" t="inlineStr">
        <is>
          <t>FINSPÅNG</t>
        </is>
      </c>
      <c r="G4712" t="n">
        <v>0.7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60827-2022</t>
        </is>
      </c>
      <c r="B4713" s="1" t="n">
        <v>44914</v>
      </c>
      <c r="C4713" s="1" t="n">
        <v>45192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3.1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60867-2022</t>
        </is>
      </c>
      <c r="B4714" s="1" t="n">
        <v>44914</v>
      </c>
      <c r="C4714" s="1" t="n">
        <v>45192</v>
      </c>
      <c r="D4714" t="inlineStr">
        <is>
          <t>ÖSTERGÖTLANDS LÄN</t>
        </is>
      </c>
      <c r="E4714" t="inlineStr">
        <is>
          <t>BOXHOLM</t>
        </is>
      </c>
      <c r="F4714" t="inlineStr">
        <is>
          <t>Övriga Aktiebolag</t>
        </is>
      </c>
      <c r="G4714" t="n">
        <v>1.4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61182-2022</t>
        </is>
      </c>
      <c r="B4715" s="1" t="n">
        <v>44915</v>
      </c>
      <c r="C4715" s="1" t="n">
        <v>45192</v>
      </c>
      <c r="D4715" t="inlineStr">
        <is>
          <t>ÖSTERGÖTLANDS LÄN</t>
        </is>
      </c>
      <c r="E4715" t="inlineStr">
        <is>
          <t>ÅTVIDABERG</t>
        </is>
      </c>
      <c r="G4715" t="n">
        <v>1.9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61355-2022</t>
        </is>
      </c>
      <c r="B4716" s="1" t="n">
        <v>44915</v>
      </c>
      <c r="C4716" s="1" t="n">
        <v>45192</v>
      </c>
      <c r="D4716" t="inlineStr">
        <is>
          <t>ÖSTERGÖTLANDS LÄN</t>
        </is>
      </c>
      <c r="E4716" t="inlineStr">
        <is>
          <t>VALDEMARSVIK</t>
        </is>
      </c>
      <c r="G4716" t="n">
        <v>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62321-2022</t>
        </is>
      </c>
      <c r="B4717" s="1" t="n">
        <v>44916</v>
      </c>
      <c r="C4717" s="1" t="n">
        <v>45192</v>
      </c>
      <c r="D4717" t="inlineStr">
        <is>
          <t>ÖSTERGÖTLANDS LÄN</t>
        </is>
      </c>
      <c r="E4717" t="inlineStr">
        <is>
          <t>LINKÖPING</t>
        </is>
      </c>
      <c r="F4717" t="inlineStr">
        <is>
          <t>Kommuner</t>
        </is>
      </c>
      <c r="G4717" t="n">
        <v>5.3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62228-2022</t>
        </is>
      </c>
      <c r="B4718" s="1" t="n">
        <v>44916</v>
      </c>
      <c r="C4718" s="1" t="n">
        <v>45192</v>
      </c>
      <c r="D4718" t="inlineStr">
        <is>
          <t>ÖSTERGÖTLANDS LÄN</t>
        </is>
      </c>
      <c r="E4718" t="inlineStr">
        <is>
          <t>YDRE</t>
        </is>
      </c>
      <c r="G4718" t="n">
        <v>1.3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61436-2022</t>
        </is>
      </c>
      <c r="B4719" s="1" t="n">
        <v>44916</v>
      </c>
      <c r="C4719" s="1" t="n">
        <v>45192</v>
      </c>
      <c r="D4719" t="inlineStr">
        <is>
          <t>ÖSTERGÖTLANDS LÄN</t>
        </is>
      </c>
      <c r="E4719" t="inlineStr">
        <is>
          <t>VALDEMARSVIK</t>
        </is>
      </c>
      <c r="G4719" t="n">
        <v>1.9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61670-2022</t>
        </is>
      </c>
      <c r="B4720" s="1" t="n">
        <v>44917</v>
      </c>
      <c r="C4720" s="1" t="n">
        <v>45192</v>
      </c>
      <c r="D4720" t="inlineStr">
        <is>
          <t>ÖSTERGÖTLANDS LÄN</t>
        </is>
      </c>
      <c r="E4720" t="inlineStr">
        <is>
          <t>ÅTVIDABERG</t>
        </is>
      </c>
      <c r="G4720" t="n">
        <v>4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61802-2022</t>
        </is>
      </c>
      <c r="B4721" s="1" t="n">
        <v>44917</v>
      </c>
      <c r="C4721" s="1" t="n">
        <v>45192</v>
      </c>
      <c r="D4721" t="inlineStr">
        <is>
          <t>ÖSTERGÖTLANDS LÄN</t>
        </is>
      </c>
      <c r="E4721" t="inlineStr">
        <is>
          <t>SÖDERKÖPING</t>
        </is>
      </c>
      <c r="G4721" t="n">
        <v>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61812-2022</t>
        </is>
      </c>
      <c r="B4722" s="1" t="n">
        <v>44917</v>
      </c>
      <c r="C4722" s="1" t="n">
        <v>45192</v>
      </c>
      <c r="D4722" t="inlineStr">
        <is>
          <t>ÖSTERGÖTLANDS LÄN</t>
        </is>
      </c>
      <c r="E4722" t="inlineStr">
        <is>
          <t>NORRKÖPING</t>
        </is>
      </c>
      <c r="G4722" t="n">
        <v>8.4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61962-2022</t>
        </is>
      </c>
      <c r="B4723" s="1" t="n">
        <v>44918</v>
      </c>
      <c r="C4723" s="1" t="n">
        <v>45192</v>
      </c>
      <c r="D4723" t="inlineStr">
        <is>
          <t>ÖSTERGÖTLANDS LÄN</t>
        </is>
      </c>
      <c r="E4723" t="inlineStr">
        <is>
          <t>KINDA</t>
        </is>
      </c>
      <c r="G4723" t="n">
        <v>2.5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61961-2022</t>
        </is>
      </c>
      <c r="B4724" s="1" t="n">
        <v>44918</v>
      </c>
      <c r="C4724" s="1" t="n">
        <v>45192</v>
      </c>
      <c r="D4724" t="inlineStr">
        <is>
          <t>ÖSTERGÖTLANDS LÄN</t>
        </is>
      </c>
      <c r="E4724" t="inlineStr">
        <is>
          <t>KINDA</t>
        </is>
      </c>
      <c r="G4724" t="n">
        <v>0.9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252-2023</t>
        </is>
      </c>
      <c r="B4725" s="1" t="n">
        <v>44922</v>
      </c>
      <c r="C4725" s="1" t="n">
        <v>45192</v>
      </c>
      <c r="D4725" t="inlineStr">
        <is>
          <t>ÖSTERGÖTLANDS LÄN</t>
        </is>
      </c>
      <c r="E4725" t="inlineStr">
        <is>
          <t>VALDEMARSVIK</t>
        </is>
      </c>
      <c r="G4725" t="n">
        <v>0.8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62236-2022</t>
        </is>
      </c>
      <c r="B4726" s="1" t="n">
        <v>44922</v>
      </c>
      <c r="C4726" s="1" t="n">
        <v>45192</v>
      </c>
      <c r="D4726" t="inlineStr">
        <is>
          <t>ÖSTERGÖTLANDS LÄN</t>
        </is>
      </c>
      <c r="E4726" t="inlineStr">
        <is>
          <t>ÅTVIDABERG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62353-2022</t>
        </is>
      </c>
      <c r="B4727" s="1" t="n">
        <v>44923</v>
      </c>
      <c r="C4727" s="1" t="n">
        <v>45192</v>
      </c>
      <c r="D4727" t="inlineStr">
        <is>
          <t>ÖSTERGÖTLANDS LÄN</t>
        </is>
      </c>
      <c r="E4727" t="inlineStr">
        <is>
          <t>LINKÖPING</t>
        </is>
      </c>
      <c r="F4727" t="inlineStr">
        <is>
          <t>Allmännings- och besparingsskogar</t>
        </is>
      </c>
      <c r="G4727" t="n">
        <v>1.7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62386-2022</t>
        </is>
      </c>
      <c r="B4728" s="1" t="n">
        <v>44923</v>
      </c>
      <c r="C4728" s="1" t="n">
        <v>45192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8.699999999999999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62381-2022</t>
        </is>
      </c>
      <c r="B4729" s="1" t="n">
        <v>44923</v>
      </c>
      <c r="C4729" s="1" t="n">
        <v>45192</v>
      </c>
      <c r="D4729" t="inlineStr">
        <is>
          <t>ÖSTERGÖTLANDS LÄN</t>
        </is>
      </c>
      <c r="E4729" t="inlineStr">
        <is>
          <t>NORRKÖPING</t>
        </is>
      </c>
      <c r="F4729" t="inlineStr">
        <is>
          <t>Holmen skog AB</t>
        </is>
      </c>
      <c r="G4729" t="n">
        <v>0.8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62737-2022</t>
        </is>
      </c>
      <c r="B4730" s="1" t="n">
        <v>44925</v>
      </c>
      <c r="C4730" s="1" t="n">
        <v>45192</v>
      </c>
      <c r="D4730" t="inlineStr">
        <is>
          <t>ÖSTERGÖTLANDS LÄN</t>
        </is>
      </c>
      <c r="E4730" t="inlineStr">
        <is>
          <t>SÖDERKÖPING</t>
        </is>
      </c>
      <c r="G4730" t="n">
        <v>3.8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62709-2022</t>
        </is>
      </c>
      <c r="B4731" s="1" t="n">
        <v>44925</v>
      </c>
      <c r="C4731" s="1" t="n">
        <v>45192</v>
      </c>
      <c r="D4731" t="inlineStr">
        <is>
          <t>ÖSTERGÖTLANDS LÄN</t>
        </is>
      </c>
      <c r="E4731" t="inlineStr">
        <is>
          <t>SÖDERKÖPING</t>
        </is>
      </c>
      <c r="G4731" t="n">
        <v>0.9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225-2023</t>
        </is>
      </c>
      <c r="B4732" s="1" t="n">
        <v>44928</v>
      </c>
      <c r="C4732" s="1" t="n">
        <v>45192</v>
      </c>
      <c r="D4732" t="inlineStr">
        <is>
          <t>ÖSTERGÖTLANDS LÄN</t>
        </is>
      </c>
      <c r="E4732" t="inlineStr">
        <is>
          <t>SÖDERKÖPING</t>
        </is>
      </c>
      <c r="G4732" t="n">
        <v>1.9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1084-2023</t>
        </is>
      </c>
      <c r="B4733" s="1" t="n">
        <v>44929</v>
      </c>
      <c r="C4733" s="1" t="n">
        <v>45192</v>
      </c>
      <c r="D4733" t="inlineStr">
        <is>
          <t>ÖSTERGÖTLANDS LÄN</t>
        </is>
      </c>
      <c r="E4733" t="inlineStr">
        <is>
          <t>LINKÖPING</t>
        </is>
      </c>
      <c r="G4733" t="n">
        <v>10.4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532-2023</t>
        </is>
      </c>
      <c r="B4734" s="1" t="n">
        <v>44930</v>
      </c>
      <c r="C4734" s="1" t="n">
        <v>45192</v>
      </c>
      <c r="D4734" t="inlineStr">
        <is>
          <t>ÖSTERGÖTLANDS LÄN</t>
        </is>
      </c>
      <c r="E4734" t="inlineStr">
        <is>
          <t>FINSPÅNG</t>
        </is>
      </c>
      <c r="G4734" t="n">
        <v>1.9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668-2023</t>
        </is>
      </c>
      <c r="B4735" s="1" t="n">
        <v>44930</v>
      </c>
      <c r="C4735" s="1" t="n">
        <v>45192</v>
      </c>
      <c r="D4735" t="inlineStr">
        <is>
          <t>ÖSTERGÖTLANDS LÄN</t>
        </is>
      </c>
      <c r="E4735" t="inlineStr">
        <is>
          <t>ÅTVIDABERG</t>
        </is>
      </c>
      <c r="G4735" t="n">
        <v>3.2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1211-2023</t>
        </is>
      </c>
      <c r="B4736" s="1" t="n">
        <v>44930</v>
      </c>
      <c r="C4736" s="1" t="n">
        <v>45192</v>
      </c>
      <c r="D4736" t="inlineStr">
        <is>
          <t>ÖSTERGÖTLANDS LÄN</t>
        </is>
      </c>
      <c r="E4736" t="inlineStr">
        <is>
          <t>LINKÖPING</t>
        </is>
      </c>
      <c r="F4736" t="inlineStr">
        <is>
          <t>Övriga statliga verk och myndigheter</t>
        </is>
      </c>
      <c r="G4736" t="n">
        <v>7.9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529-2023</t>
        </is>
      </c>
      <c r="B4737" s="1" t="n">
        <v>44930</v>
      </c>
      <c r="C4737" s="1" t="n">
        <v>45192</v>
      </c>
      <c r="D4737" t="inlineStr">
        <is>
          <t>ÖSTERGÖTLANDS LÄN</t>
        </is>
      </c>
      <c r="E4737" t="inlineStr">
        <is>
          <t>FINSPÅNG</t>
        </is>
      </c>
      <c r="G4737" t="n">
        <v>5.8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1207-2023</t>
        </is>
      </c>
      <c r="B4738" s="1" t="n">
        <v>44930</v>
      </c>
      <c r="C4738" s="1" t="n">
        <v>45192</v>
      </c>
      <c r="D4738" t="inlineStr">
        <is>
          <t>ÖSTERGÖTLANDS LÄN</t>
        </is>
      </c>
      <c r="E4738" t="inlineStr">
        <is>
          <t>LINKÖPING</t>
        </is>
      </c>
      <c r="F4738" t="inlineStr">
        <is>
          <t>Övriga statliga verk och myndigheter</t>
        </is>
      </c>
      <c r="G4738" t="n">
        <v>32.8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535-2023</t>
        </is>
      </c>
      <c r="B4739" s="1" t="n">
        <v>44930</v>
      </c>
      <c r="C4739" s="1" t="n">
        <v>45192</v>
      </c>
      <c r="D4739" t="inlineStr">
        <is>
          <t>ÖSTERGÖTLANDS LÄN</t>
        </is>
      </c>
      <c r="E4739" t="inlineStr">
        <is>
          <t>FINSPÅNG</t>
        </is>
      </c>
      <c r="G4739" t="n">
        <v>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611-2023</t>
        </is>
      </c>
      <c r="B4740" s="1" t="n">
        <v>44930</v>
      </c>
      <c r="C4740" s="1" t="n">
        <v>45192</v>
      </c>
      <c r="D4740" t="inlineStr">
        <is>
          <t>ÖSTERGÖTLANDS LÄN</t>
        </is>
      </c>
      <c r="E4740" t="inlineStr">
        <is>
          <t>FINSPÅNG</t>
        </is>
      </c>
      <c r="F4740" t="inlineStr">
        <is>
          <t>Holmen skog AB</t>
        </is>
      </c>
      <c r="G4740" t="n">
        <v>0.4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660-2023</t>
        </is>
      </c>
      <c r="B4741" s="1" t="n">
        <v>44930</v>
      </c>
      <c r="C4741" s="1" t="n">
        <v>45192</v>
      </c>
      <c r="D4741" t="inlineStr">
        <is>
          <t>ÖSTERGÖTLANDS LÄN</t>
        </is>
      </c>
      <c r="E4741" t="inlineStr">
        <is>
          <t>LINKÖPING</t>
        </is>
      </c>
      <c r="F4741" t="inlineStr">
        <is>
          <t>Kyrkan</t>
        </is>
      </c>
      <c r="G4741" t="n">
        <v>1.6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530-2023</t>
        </is>
      </c>
      <c r="B4742" s="1" t="n">
        <v>44930</v>
      </c>
      <c r="C4742" s="1" t="n">
        <v>45192</v>
      </c>
      <c r="D4742" t="inlineStr">
        <is>
          <t>ÖSTERGÖTLANDS LÄN</t>
        </is>
      </c>
      <c r="E4742" t="inlineStr">
        <is>
          <t>FINSPÅNG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637-2023</t>
        </is>
      </c>
      <c r="B4743" s="1" t="n">
        <v>44930</v>
      </c>
      <c r="C4743" s="1" t="n">
        <v>45192</v>
      </c>
      <c r="D4743" t="inlineStr">
        <is>
          <t>ÖSTERGÖTLANDS LÄN</t>
        </is>
      </c>
      <c r="E4743" t="inlineStr">
        <is>
          <t>MOTALA</t>
        </is>
      </c>
      <c r="G4743" t="n">
        <v>2.4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1018-2023</t>
        </is>
      </c>
      <c r="B4744" s="1" t="n">
        <v>44930</v>
      </c>
      <c r="C4744" s="1" t="n">
        <v>45192</v>
      </c>
      <c r="D4744" t="inlineStr">
        <is>
          <t>ÖSTERGÖTLANDS LÄN</t>
        </is>
      </c>
      <c r="E4744" t="inlineStr">
        <is>
          <t>NORRKÖPING</t>
        </is>
      </c>
      <c r="G4744" t="n">
        <v>1.7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1209-2023</t>
        </is>
      </c>
      <c r="B4745" s="1" t="n">
        <v>44930</v>
      </c>
      <c r="C4745" s="1" t="n">
        <v>45192</v>
      </c>
      <c r="D4745" t="inlineStr">
        <is>
          <t>ÖSTERGÖTLANDS LÄN</t>
        </is>
      </c>
      <c r="E4745" t="inlineStr">
        <is>
          <t>LINKÖPING</t>
        </is>
      </c>
      <c r="F4745" t="inlineStr">
        <is>
          <t>Övriga statliga verk och myndigheter</t>
        </is>
      </c>
      <c r="G4745" t="n">
        <v>25.8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747-2023</t>
        </is>
      </c>
      <c r="B4746" s="1" t="n">
        <v>44931</v>
      </c>
      <c r="C4746" s="1" t="n">
        <v>45192</v>
      </c>
      <c r="D4746" t="inlineStr">
        <is>
          <t>ÖSTERGÖTLANDS LÄN</t>
        </is>
      </c>
      <c r="E4746" t="inlineStr">
        <is>
          <t>NORRKÖPING</t>
        </is>
      </c>
      <c r="G4746" t="n">
        <v>3.6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1301-2023</t>
        </is>
      </c>
      <c r="B4747" s="1" t="n">
        <v>44931</v>
      </c>
      <c r="C4747" s="1" t="n">
        <v>45192</v>
      </c>
      <c r="D4747" t="inlineStr">
        <is>
          <t>ÖSTERGÖTLANDS LÄN</t>
        </is>
      </c>
      <c r="E4747" t="inlineStr">
        <is>
          <t>MOTALA</t>
        </is>
      </c>
      <c r="F4747" t="inlineStr">
        <is>
          <t>Övriga statliga verk och myndigheter</t>
        </is>
      </c>
      <c r="G4747" t="n">
        <v>7.7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886-2023</t>
        </is>
      </c>
      <c r="B4748" s="1" t="n">
        <v>44931</v>
      </c>
      <c r="C4748" s="1" t="n">
        <v>45192</v>
      </c>
      <c r="D4748" t="inlineStr">
        <is>
          <t>ÖSTERGÖTLANDS LÄN</t>
        </is>
      </c>
      <c r="E4748" t="inlineStr">
        <is>
          <t>ÖDESHÖG</t>
        </is>
      </c>
      <c r="G4748" t="n">
        <v>2.2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1362-2023</t>
        </is>
      </c>
      <c r="B4749" s="1" t="n">
        <v>44931</v>
      </c>
      <c r="C4749" s="1" t="n">
        <v>45192</v>
      </c>
      <c r="D4749" t="inlineStr">
        <is>
          <t>ÖSTERGÖTLANDS LÄN</t>
        </is>
      </c>
      <c r="E4749" t="inlineStr">
        <is>
          <t>LINKÖPING</t>
        </is>
      </c>
      <c r="G4749" t="n">
        <v>1.8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736-2023</t>
        </is>
      </c>
      <c r="B4750" s="1" t="n">
        <v>44931</v>
      </c>
      <c r="C4750" s="1" t="n">
        <v>45192</v>
      </c>
      <c r="D4750" t="inlineStr">
        <is>
          <t>ÖSTERGÖTLANDS LÄN</t>
        </is>
      </c>
      <c r="E4750" t="inlineStr">
        <is>
          <t>ÅTVIDABERG</t>
        </is>
      </c>
      <c r="G4750" t="n">
        <v>3.2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1355-2023</t>
        </is>
      </c>
      <c r="B4751" s="1" t="n">
        <v>44931</v>
      </c>
      <c r="C4751" s="1" t="n">
        <v>45192</v>
      </c>
      <c r="D4751" t="inlineStr">
        <is>
          <t>ÖSTERGÖTLANDS LÄN</t>
        </is>
      </c>
      <c r="E4751" t="inlineStr">
        <is>
          <t>LINKÖPING</t>
        </is>
      </c>
      <c r="G4751" t="n">
        <v>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940-2023</t>
        </is>
      </c>
      <c r="B4752" s="1" t="n">
        <v>44933</v>
      </c>
      <c r="C4752" s="1" t="n">
        <v>45192</v>
      </c>
      <c r="D4752" t="inlineStr">
        <is>
          <t>ÖSTERGÖTLANDS LÄN</t>
        </is>
      </c>
      <c r="E4752" t="inlineStr">
        <is>
          <t>LINKÖPING</t>
        </is>
      </c>
      <c r="G4752" t="n">
        <v>1.5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938-2023</t>
        </is>
      </c>
      <c r="B4753" s="1" t="n">
        <v>44933</v>
      </c>
      <c r="C4753" s="1" t="n">
        <v>45192</v>
      </c>
      <c r="D4753" t="inlineStr">
        <is>
          <t>ÖSTERGÖTLANDS LÄN</t>
        </is>
      </c>
      <c r="E4753" t="inlineStr">
        <is>
          <t>LINKÖPING</t>
        </is>
      </c>
      <c r="G4753" t="n">
        <v>0.5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1092-2023</t>
        </is>
      </c>
      <c r="B4754" s="1" t="n">
        <v>44935</v>
      </c>
      <c r="C4754" s="1" t="n">
        <v>45192</v>
      </c>
      <c r="D4754" t="inlineStr">
        <is>
          <t>ÖSTERGÖTLANDS LÄN</t>
        </is>
      </c>
      <c r="E4754" t="inlineStr">
        <is>
          <t>MOTALA</t>
        </is>
      </c>
      <c r="G4754" t="n">
        <v>2.8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1121-2023</t>
        </is>
      </c>
      <c r="B4755" s="1" t="n">
        <v>44935</v>
      </c>
      <c r="C4755" s="1" t="n">
        <v>45192</v>
      </c>
      <c r="D4755" t="inlineStr">
        <is>
          <t>ÖSTERGÖTLANDS LÄN</t>
        </is>
      </c>
      <c r="E4755" t="inlineStr">
        <is>
          <t>ÅTVIDABERG</t>
        </is>
      </c>
      <c r="G4755" t="n">
        <v>2.2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1056-2023</t>
        </is>
      </c>
      <c r="B4756" s="1" t="n">
        <v>44935</v>
      </c>
      <c r="C4756" s="1" t="n">
        <v>45192</v>
      </c>
      <c r="D4756" t="inlineStr">
        <is>
          <t>ÖSTERGÖTLANDS LÄN</t>
        </is>
      </c>
      <c r="E4756" t="inlineStr">
        <is>
          <t>NORRKÖPING</t>
        </is>
      </c>
      <c r="F4756" t="inlineStr">
        <is>
          <t>Holmen skog AB</t>
        </is>
      </c>
      <c r="G4756" t="n">
        <v>1.5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1089-2023</t>
        </is>
      </c>
      <c r="B4757" s="1" t="n">
        <v>44935</v>
      </c>
      <c r="C4757" s="1" t="n">
        <v>45192</v>
      </c>
      <c r="D4757" t="inlineStr">
        <is>
          <t>ÖSTERGÖTLANDS LÄN</t>
        </is>
      </c>
      <c r="E4757" t="inlineStr">
        <is>
          <t>NORRKÖPING</t>
        </is>
      </c>
      <c r="G4757" t="n">
        <v>2.1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1039-2023</t>
        </is>
      </c>
      <c r="B4758" s="1" t="n">
        <v>44935</v>
      </c>
      <c r="C4758" s="1" t="n">
        <v>45192</v>
      </c>
      <c r="D4758" t="inlineStr">
        <is>
          <t>ÖSTERGÖTLANDS LÄN</t>
        </is>
      </c>
      <c r="E4758" t="inlineStr">
        <is>
          <t>NORRKÖPING</t>
        </is>
      </c>
      <c r="F4758" t="inlineStr">
        <is>
          <t>Holmen skog AB</t>
        </is>
      </c>
      <c r="G4758" t="n">
        <v>0.5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1077-2023</t>
        </is>
      </c>
      <c r="B4759" s="1" t="n">
        <v>44935</v>
      </c>
      <c r="C4759" s="1" t="n">
        <v>45192</v>
      </c>
      <c r="D4759" t="inlineStr">
        <is>
          <t>ÖSTERGÖTLANDS LÄN</t>
        </is>
      </c>
      <c r="E4759" t="inlineStr">
        <is>
          <t>NORRKÖPING</t>
        </is>
      </c>
      <c r="G4759" t="n">
        <v>3.4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1099-2023</t>
        </is>
      </c>
      <c r="B4760" s="1" t="n">
        <v>44935</v>
      </c>
      <c r="C4760" s="1" t="n">
        <v>45192</v>
      </c>
      <c r="D4760" t="inlineStr">
        <is>
          <t>ÖSTERGÖTLANDS LÄN</t>
        </is>
      </c>
      <c r="E4760" t="inlineStr">
        <is>
          <t>MOTALA</t>
        </is>
      </c>
      <c r="G4760" t="n">
        <v>1.6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1118-2023</t>
        </is>
      </c>
      <c r="B4761" s="1" t="n">
        <v>44935</v>
      </c>
      <c r="C4761" s="1" t="n">
        <v>45192</v>
      </c>
      <c r="D4761" t="inlineStr">
        <is>
          <t>ÖSTERGÖTLANDS LÄN</t>
        </is>
      </c>
      <c r="E4761" t="inlineStr">
        <is>
          <t>MOTALA</t>
        </is>
      </c>
      <c r="G4761" t="n">
        <v>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1503-2023</t>
        </is>
      </c>
      <c r="B4762" s="1" t="n">
        <v>44935</v>
      </c>
      <c r="C4762" s="1" t="n">
        <v>45192</v>
      </c>
      <c r="D4762" t="inlineStr">
        <is>
          <t>ÖSTERGÖTLANDS LÄN</t>
        </is>
      </c>
      <c r="E4762" t="inlineStr">
        <is>
          <t>KINDA</t>
        </is>
      </c>
      <c r="G4762" t="n">
        <v>0.7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1016-2023</t>
        </is>
      </c>
      <c r="B4763" s="1" t="n">
        <v>44935</v>
      </c>
      <c r="C4763" s="1" t="n">
        <v>45192</v>
      </c>
      <c r="D4763" t="inlineStr">
        <is>
          <t>ÖSTERGÖTLANDS LÄN</t>
        </is>
      </c>
      <c r="E4763" t="inlineStr">
        <is>
          <t>ÅTVIDABERG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1038-2023</t>
        </is>
      </c>
      <c r="B4764" s="1" t="n">
        <v>44935</v>
      </c>
      <c r="C4764" s="1" t="n">
        <v>45192</v>
      </c>
      <c r="D4764" t="inlineStr">
        <is>
          <t>ÖSTERGÖTLANDS LÄN</t>
        </is>
      </c>
      <c r="E4764" t="inlineStr">
        <is>
          <t>MOTALA</t>
        </is>
      </c>
      <c r="G4764" t="n">
        <v>3.1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1094-2023</t>
        </is>
      </c>
      <c r="B4765" s="1" t="n">
        <v>44935</v>
      </c>
      <c r="C4765" s="1" t="n">
        <v>45192</v>
      </c>
      <c r="D4765" t="inlineStr">
        <is>
          <t>ÖSTERGÖTLANDS LÄN</t>
        </is>
      </c>
      <c r="E4765" t="inlineStr">
        <is>
          <t>MOTALA</t>
        </is>
      </c>
      <c r="G4765" t="n">
        <v>0.8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1260-2023</t>
        </is>
      </c>
      <c r="B4766" s="1" t="n">
        <v>44936</v>
      </c>
      <c r="C4766" s="1" t="n">
        <v>45192</v>
      </c>
      <c r="D4766" t="inlineStr">
        <is>
          <t>ÖSTERGÖTLANDS LÄN</t>
        </is>
      </c>
      <c r="E4766" t="inlineStr">
        <is>
          <t>LINKÖPING</t>
        </is>
      </c>
      <c r="G4766" t="n">
        <v>1.2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1281-2023</t>
        </is>
      </c>
      <c r="B4767" s="1" t="n">
        <v>44936</v>
      </c>
      <c r="C4767" s="1" t="n">
        <v>45192</v>
      </c>
      <c r="D4767" t="inlineStr">
        <is>
          <t>ÖSTERGÖTLANDS LÄN</t>
        </is>
      </c>
      <c r="E4767" t="inlineStr">
        <is>
          <t>NORRKÖPING</t>
        </is>
      </c>
      <c r="F4767" t="inlineStr">
        <is>
          <t>Holmen skog AB</t>
        </is>
      </c>
      <c r="G4767" t="n">
        <v>0.6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1289-2023</t>
        </is>
      </c>
      <c r="B4768" s="1" t="n">
        <v>44936</v>
      </c>
      <c r="C4768" s="1" t="n">
        <v>45192</v>
      </c>
      <c r="D4768" t="inlineStr">
        <is>
          <t>ÖSTERGÖTLANDS LÄN</t>
        </is>
      </c>
      <c r="E4768" t="inlineStr">
        <is>
          <t>MJÖLBY</t>
        </is>
      </c>
      <c r="G4768" t="n">
        <v>4.9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1835-2023</t>
        </is>
      </c>
      <c r="B4769" s="1" t="n">
        <v>44936</v>
      </c>
      <c r="C4769" s="1" t="n">
        <v>45192</v>
      </c>
      <c r="D4769" t="inlineStr">
        <is>
          <t>ÖSTERGÖTLANDS LÄN</t>
        </is>
      </c>
      <c r="E4769" t="inlineStr">
        <is>
          <t>NORRKÖPING</t>
        </is>
      </c>
      <c r="G4769" t="n">
        <v>2.9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1949-2023</t>
        </is>
      </c>
      <c r="B4770" s="1" t="n">
        <v>44936</v>
      </c>
      <c r="C4770" s="1" t="n">
        <v>45192</v>
      </c>
      <c r="D4770" t="inlineStr">
        <is>
          <t>ÖSTERGÖTLANDS LÄN</t>
        </is>
      </c>
      <c r="E4770" t="inlineStr">
        <is>
          <t>SÖDERKÖPING</t>
        </is>
      </c>
      <c r="G4770" t="n">
        <v>5.3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1265-2023</t>
        </is>
      </c>
      <c r="B4771" s="1" t="n">
        <v>44936</v>
      </c>
      <c r="C4771" s="1" t="n">
        <v>45192</v>
      </c>
      <c r="D4771" t="inlineStr">
        <is>
          <t>ÖSTERGÖTLANDS LÄN</t>
        </is>
      </c>
      <c r="E4771" t="inlineStr">
        <is>
          <t>LINKÖPING</t>
        </is>
      </c>
      <c r="G4771" t="n">
        <v>2.3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1277-2023</t>
        </is>
      </c>
      <c r="B4772" s="1" t="n">
        <v>44936</v>
      </c>
      <c r="C4772" s="1" t="n">
        <v>45192</v>
      </c>
      <c r="D4772" t="inlineStr">
        <is>
          <t>ÖSTERGÖTLANDS LÄN</t>
        </is>
      </c>
      <c r="E4772" t="inlineStr">
        <is>
          <t>NORRKÖPING</t>
        </is>
      </c>
      <c r="F4772" t="inlineStr">
        <is>
          <t>Holmen skog AB</t>
        </is>
      </c>
      <c r="G4772" t="n">
        <v>3.1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1408-2023</t>
        </is>
      </c>
      <c r="B4773" s="1" t="n">
        <v>44936</v>
      </c>
      <c r="C4773" s="1" t="n">
        <v>45192</v>
      </c>
      <c r="D4773" t="inlineStr">
        <is>
          <t>ÖSTERGÖTLANDS LÄN</t>
        </is>
      </c>
      <c r="E4773" t="inlineStr">
        <is>
          <t>SÖDERKÖPING</t>
        </is>
      </c>
      <c r="G4773" t="n">
        <v>2.1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1930-2023</t>
        </is>
      </c>
      <c r="B4774" s="1" t="n">
        <v>44936</v>
      </c>
      <c r="C4774" s="1" t="n">
        <v>45192</v>
      </c>
      <c r="D4774" t="inlineStr">
        <is>
          <t>ÖSTERGÖTLANDS LÄN</t>
        </is>
      </c>
      <c r="E4774" t="inlineStr">
        <is>
          <t>SÖDERKÖPING</t>
        </is>
      </c>
      <c r="G4774" t="n">
        <v>1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1264-2023</t>
        </is>
      </c>
      <c r="B4775" s="1" t="n">
        <v>44936</v>
      </c>
      <c r="C4775" s="1" t="n">
        <v>45192</v>
      </c>
      <c r="D4775" t="inlineStr">
        <is>
          <t>ÖSTERGÖTLANDS LÄN</t>
        </is>
      </c>
      <c r="E4775" t="inlineStr">
        <is>
          <t>LINKÖPING</t>
        </is>
      </c>
      <c r="G4775" t="n">
        <v>1.8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1811-2023</t>
        </is>
      </c>
      <c r="B4776" s="1" t="n">
        <v>44936</v>
      </c>
      <c r="C4776" s="1" t="n">
        <v>45192</v>
      </c>
      <c r="D4776" t="inlineStr">
        <is>
          <t>ÖSTERGÖTLANDS LÄN</t>
        </is>
      </c>
      <c r="E4776" t="inlineStr">
        <is>
          <t>NORRKÖPING</t>
        </is>
      </c>
      <c r="G4776" t="n">
        <v>2.4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1923-2023</t>
        </is>
      </c>
      <c r="B4777" s="1" t="n">
        <v>44936</v>
      </c>
      <c r="C4777" s="1" t="n">
        <v>45192</v>
      </c>
      <c r="D4777" t="inlineStr">
        <is>
          <t>ÖSTERGÖTLANDS LÄN</t>
        </is>
      </c>
      <c r="E4777" t="inlineStr">
        <is>
          <t>NORRKÖPING</t>
        </is>
      </c>
      <c r="G4777" t="n">
        <v>2.1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1268-2023</t>
        </is>
      </c>
      <c r="B4778" s="1" t="n">
        <v>44936</v>
      </c>
      <c r="C4778" s="1" t="n">
        <v>45192</v>
      </c>
      <c r="D4778" t="inlineStr">
        <is>
          <t>ÖSTERGÖTLANDS LÄN</t>
        </is>
      </c>
      <c r="E4778" t="inlineStr">
        <is>
          <t>LINKÖPING</t>
        </is>
      </c>
      <c r="G4778" t="n">
        <v>4.6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1321-2023</t>
        </is>
      </c>
      <c r="B4779" s="1" t="n">
        <v>44936</v>
      </c>
      <c r="C4779" s="1" t="n">
        <v>45192</v>
      </c>
      <c r="D4779" t="inlineStr">
        <is>
          <t>ÖSTERGÖTLANDS LÄN</t>
        </is>
      </c>
      <c r="E4779" t="inlineStr">
        <is>
          <t>ÖDESHÖG</t>
        </is>
      </c>
      <c r="G4779" t="n">
        <v>5.7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1410-2023</t>
        </is>
      </c>
      <c r="B4780" s="1" t="n">
        <v>44936</v>
      </c>
      <c r="C4780" s="1" t="n">
        <v>45192</v>
      </c>
      <c r="D4780" t="inlineStr">
        <is>
          <t>ÖSTERGÖTLANDS LÄN</t>
        </is>
      </c>
      <c r="E4780" t="inlineStr">
        <is>
          <t>SÖDERKÖPING</t>
        </is>
      </c>
      <c r="G4780" t="n">
        <v>3.7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1939-2023</t>
        </is>
      </c>
      <c r="B4781" s="1" t="n">
        <v>44936</v>
      </c>
      <c r="C4781" s="1" t="n">
        <v>45192</v>
      </c>
      <c r="D4781" t="inlineStr">
        <is>
          <t>ÖSTERGÖTLANDS LÄN</t>
        </is>
      </c>
      <c r="E4781" t="inlineStr">
        <is>
          <t>NORRKÖPING</t>
        </is>
      </c>
      <c r="G4781" t="n">
        <v>5.8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1429-2023</t>
        </is>
      </c>
      <c r="B4782" s="1" t="n">
        <v>44937</v>
      </c>
      <c r="C4782" s="1" t="n">
        <v>45192</v>
      </c>
      <c r="D4782" t="inlineStr">
        <is>
          <t>ÖSTERGÖTLANDS LÄN</t>
        </is>
      </c>
      <c r="E4782" t="inlineStr">
        <is>
          <t>LINKÖPING</t>
        </is>
      </c>
      <c r="G4782" t="n">
        <v>1.4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1620-2023</t>
        </is>
      </c>
      <c r="B4783" s="1" t="n">
        <v>44937</v>
      </c>
      <c r="C4783" s="1" t="n">
        <v>45192</v>
      </c>
      <c r="D4783" t="inlineStr">
        <is>
          <t>ÖSTERGÖTLANDS LÄN</t>
        </is>
      </c>
      <c r="E4783" t="inlineStr">
        <is>
          <t>VALDEMARSVIK</t>
        </is>
      </c>
      <c r="G4783" t="n">
        <v>4.7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2029-2023</t>
        </is>
      </c>
      <c r="B4784" s="1" t="n">
        <v>44937</v>
      </c>
      <c r="C4784" s="1" t="n">
        <v>45192</v>
      </c>
      <c r="D4784" t="inlineStr">
        <is>
          <t>ÖSTERGÖTLANDS LÄN</t>
        </is>
      </c>
      <c r="E4784" t="inlineStr">
        <is>
          <t>KINDA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1422-2023</t>
        </is>
      </c>
      <c r="B4785" s="1" t="n">
        <v>44937</v>
      </c>
      <c r="C4785" s="1" t="n">
        <v>45192</v>
      </c>
      <c r="D4785" t="inlineStr">
        <is>
          <t>ÖSTERGÖTLANDS LÄN</t>
        </is>
      </c>
      <c r="E4785" t="inlineStr">
        <is>
          <t>ÅTVIDABERG</t>
        </is>
      </c>
      <c r="G4785" t="n">
        <v>1.9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1623-2023</t>
        </is>
      </c>
      <c r="B4786" s="1" t="n">
        <v>44937</v>
      </c>
      <c r="C4786" s="1" t="n">
        <v>45192</v>
      </c>
      <c r="D4786" t="inlineStr">
        <is>
          <t>ÖSTERGÖTLANDS LÄN</t>
        </is>
      </c>
      <c r="E4786" t="inlineStr">
        <is>
          <t>MJÖLBY</t>
        </is>
      </c>
      <c r="G4786" t="n">
        <v>3.5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2016-2023</t>
        </is>
      </c>
      <c r="B4787" s="1" t="n">
        <v>44937</v>
      </c>
      <c r="C4787" s="1" t="n">
        <v>45192</v>
      </c>
      <c r="D4787" t="inlineStr">
        <is>
          <t>ÖSTERGÖTLANDS LÄN</t>
        </is>
      </c>
      <c r="E4787" t="inlineStr">
        <is>
          <t>KINDA</t>
        </is>
      </c>
      <c r="G4787" t="n">
        <v>2.9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1495-2023</t>
        </is>
      </c>
      <c r="B4788" s="1" t="n">
        <v>44937</v>
      </c>
      <c r="C4788" s="1" t="n">
        <v>45192</v>
      </c>
      <c r="D4788" t="inlineStr">
        <is>
          <t>ÖSTERGÖTLANDS LÄN</t>
        </is>
      </c>
      <c r="E4788" t="inlineStr">
        <is>
          <t>KINDA</t>
        </is>
      </c>
      <c r="G4788" t="n">
        <v>1.2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1627-2023</t>
        </is>
      </c>
      <c r="B4789" s="1" t="n">
        <v>44937</v>
      </c>
      <c r="C4789" s="1" t="n">
        <v>45192</v>
      </c>
      <c r="D4789" t="inlineStr">
        <is>
          <t>ÖSTERGÖTLANDS LÄN</t>
        </is>
      </c>
      <c r="E4789" t="inlineStr">
        <is>
          <t>LINKÖPING</t>
        </is>
      </c>
      <c r="G4789" t="n">
        <v>10.8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1710-2023</t>
        </is>
      </c>
      <c r="B4790" s="1" t="n">
        <v>44938</v>
      </c>
      <c r="C4790" s="1" t="n">
        <v>45192</v>
      </c>
      <c r="D4790" t="inlineStr">
        <is>
          <t>ÖSTERGÖTLANDS LÄN</t>
        </is>
      </c>
      <c r="E4790" t="inlineStr">
        <is>
          <t>ÅTVIDABERG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2033-2023</t>
        </is>
      </c>
      <c r="B4791" s="1" t="n">
        <v>44939</v>
      </c>
      <c r="C4791" s="1" t="n">
        <v>45192</v>
      </c>
      <c r="D4791" t="inlineStr">
        <is>
          <t>ÖSTERGÖTLANDS LÄN</t>
        </is>
      </c>
      <c r="E4791" t="inlineStr">
        <is>
          <t>SÖDERKÖPING</t>
        </is>
      </c>
      <c r="G4791" t="n">
        <v>2.5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1914-2023</t>
        </is>
      </c>
      <c r="B4792" s="1" t="n">
        <v>44939</v>
      </c>
      <c r="C4792" s="1" t="n">
        <v>45192</v>
      </c>
      <c r="D4792" t="inlineStr">
        <is>
          <t>ÖSTERGÖTLANDS LÄN</t>
        </is>
      </c>
      <c r="E4792" t="inlineStr">
        <is>
          <t>NORRKÖPING</t>
        </is>
      </c>
      <c r="F4792" t="inlineStr">
        <is>
          <t>Naturvårdsverket</t>
        </is>
      </c>
      <c r="G4792" t="n">
        <v>2.6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2021-2023</t>
        </is>
      </c>
      <c r="B4793" s="1" t="n">
        <v>44939</v>
      </c>
      <c r="C4793" s="1" t="n">
        <v>45192</v>
      </c>
      <c r="D4793" t="inlineStr">
        <is>
          <t>ÖSTERGÖTLANDS LÄN</t>
        </is>
      </c>
      <c r="E4793" t="inlineStr">
        <is>
          <t>NORRKÖPING</t>
        </is>
      </c>
      <c r="G4793" t="n">
        <v>2.1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1913-2023</t>
        </is>
      </c>
      <c r="B4794" s="1" t="n">
        <v>44939</v>
      </c>
      <c r="C4794" s="1" t="n">
        <v>45192</v>
      </c>
      <c r="D4794" t="inlineStr">
        <is>
          <t>ÖSTERGÖTLANDS LÄN</t>
        </is>
      </c>
      <c r="E4794" t="inlineStr">
        <is>
          <t>FINSPÅNG</t>
        </is>
      </c>
      <c r="G4794" t="n">
        <v>1.2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1993-2023</t>
        </is>
      </c>
      <c r="B4795" s="1" t="n">
        <v>44939</v>
      </c>
      <c r="C4795" s="1" t="n">
        <v>45192</v>
      </c>
      <c r="D4795" t="inlineStr">
        <is>
          <t>ÖSTERGÖTLANDS LÄN</t>
        </is>
      </c>
      <c r="E4795" t="inlineStr">
        <is>
          <t>LINKÖPING</t>
        </is>
      </c>
      <c r="G4795" t="n">
        <v>3.7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2066-2023</t>
        </is>
      </c>
      <c r="B4796" s="1" t="n">
        <v>44939</v>
      </c>
      <c r="C4796" s="1" t="n">
        <v>45192</v>
      </c>
      <c r="D4796" t="inlineStr">
        <is>
          <t>ÖSTERGÖTLANDS LÄN</t>
        </is>
      </c>
      <c r="E4796" t="inlineStr">
        <is>
          <t>MJÖLBY</t>
        </is>
      </c>
      <c r="G4796" t="n">
        <v>5.4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2201-2023</t>
        </is>
      </c>
      <c r="B4797" s="1" t="n">
        <v>44942</v>
      </c>
      <c r="C4797" s="1" t="n">
        <v>45192</v>
      </c>
      <c r="D4797" t="inlineStr">
        <is>
          <t>ÖSTERGÖTLANDS LÄN</t>
        </is>
      </c>
      <c r="E4797" t="inlineStr">
        <is>
          <t>MOTALA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2355-2023</t>
        </is>
      </c>
      <c r="B4798" s="1" t="n">
        <v>44942</v>
      </c>
      <c r="C4798" s="1" t="n">
        <v>45192</v>
      </c>
      <c r="D4798" t="inlineStr">
        <is>
          <t>ÖSTERGÖTLANDS LÄN</t>
        </is>
      </c>
      <c r="E4798" t="inlineStr">
        <is>
          <t>VALDEMARSVIK</t>
        </is>
      </c>
      <c r="G4798" t="n">
        <v>0.6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2176-2023</t>
        </is>
      </c>
      <c r="B4799" s="1" t="n">
        <v>44942</v>
      </c>
      <c r="C4799" s="1" t="n">
        <v>45192</v>
      </c>
      <c r="D4799" t="inlineStr">
        <is>
          <t>ÖSTERGÖTLANDS LÄN</t>
        </is>
      </c>
      <c r="E4799" t="inlineStr">
        <is>
          <t>ÅTVIDABERG</t>
        </is>
      </c>
      <c r="G4799" t="n">
        <v>1.2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2194-2023</t>
        </is>
      </c>
      <c r="B4800" s="1" t="n">
        <v>44942</v>
      </c>
      <c r="C4800" s="1" t="n">
        <v>45192</v>
      </c>
      <c r="D4800" t="inlineStr">
        <is>
          <t>ÖSTERGÖTLANDS LÄN</t>
        </is>
      </c>
      <c r="E4800" t="inlineStr">
        <is>
          <t>MOTALA</t>
        </is>
      </c>
      <c r="G4800" t="n">
        <v>3.9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2389-2023</t>
        </is>
      </c>
      <c r="B4801" s="1" t="n">
        <v>44942</v>
      </c>
      <c r="C4801" s="1" t="n">
        <v>45192</v>
      </c>
      <c r="D4801" t="inlineStr">
        <is>
          <t>ÖSTERGÖTLANDS LÄN</t>
        </is>
      </c>
      <c r="E4801" t="inlineStr">
        <is>
          <t>LINKÖPING</t>
        </is>
      </c>
      <c r="G4801" t="n">
        <v>3.3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2178-2023</t>
        </is>
      </c>
      <c r="B4802" s="1" t="n">
        <v>44942</v>
      </c>
      <c r="C4802" s="1" t="n">
        <v>45192</v>
      </c>
      <c r="D4802" t="inlineStr">
        <is>
          <t>ÖSTERGÖTLANDS LÄN</t>
        </is>
      </c>
      <c r="E4802" t="inlineStr">
        <is>
          <t>ÅTVIDABERG</t>
        </is>
      </c>
      <c r="G4802" t="n">
        <v>0.5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2198-2023</t>
        </is>
      </c>
      <c r="B4803" s="1" t="n">
        <v>44942</v>
      </c>
      <c r="C4803" s="1" t="n">
        <v>45192</v>
      </c>
      <c r="D4803" t="inlineStr">
        <is>
          <t>ÖSTERGÖTLANDS LÄN</t>
        </is>
      </c>
      <c r="E4803" t="inlineStr">
        <is>
          <t>BOXHOLM</t>
        </is>
      </c>
      <c r="G4803" t="n">
        <v>0.6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2644-2023</t>
        </is>
      </c>
      <c r="B4804" s="1" t="n">
        <v>44942</v>
      </c>
      <c r="C4804" s="1" t="n">
        <v>45192</v>
      </c>
      <c r="D4804" t="inlineStr">
        <is>
          <t>ÖSTERGÖTLANDS LÄN</t>
        </is>
      </c>
      <c r="E4804" t="inlineStr">
        <is>
          <t>SÖDERKÖPING</t>
        </is>
      </c>
      <c r="G4804" t="n">
        <v>7.5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2584-2023</t>
        </is>
      </c>
      <c r="B4805" s="1" t="n">
        <v>44943</v>
      </c>
      <c r="C4805" s="1" t="n">
        <v>45192</v>
      </c>
      <c r="D4805" t="inlineStr">
        <is>
          <t>ÖSTERGÖTLANDS LÄN</t>
        </is>
      </c>
      <c r="E4805" t="inlineStr">
        <is>
          <t>SÖDERKÖPING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2479-2023</t>
        </is>
      </c>
      <c r="B4806" s="1" t="n">
        <v>44943</v>
      </c>
      <c r="C4806" s="1" t="n">
        <v>45192</v>
      </c>
      <c r="D4806" t="inlineStr">
        <is>
          <t>ÖSTERGÖTLANDS LÄN</t>
        </is>
      </c>
      <c r="E4806" t="inlineStr">
        <is>
          <t>FINSPÅNG</t>
        </is>
      </c>
      <c r="F4806" t="inlineStr">
        <is>
          <t>Holmen skog AB</t>
        </is>
      </c>
      <c r="G4806" t="n">
        <v>2.8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2559-2023</t>
        </is>
      </c>
      <c r="B4807" s="1" t="n">
        <v>44943</v>
      </c>
      <c r="C4807" s="1" t="n">
        <v>45192</v>
      </c>
      <c r="D4807" t="inlineStr">
        <is>
          <t>ÖSTERGÖTLANDS LÄN</t>
        </is>
      </c>
      <c r="E4807" t="inlineStr">
        <is>
          <t>VALDEMARSVIK</t>
        </is>
      </c>
      <c r="G4807" t="n">
        <v>1.4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2463-2023</t>
        </is>
      </c>
      <c r="B4808" s="1" t="n">
        <v>44943</v>
      </c>
      <c r="C4808" s="1" t="n">
        <v>45192</v>
      </c>
      <c r="D4808" t="inlineStr">
        <is>
          <t>ÖSTERGÖTLANDS LÄN</t>
        </is>
      </c>
      <c r="E4808" t="inlineStr">
        <is>
          <t>MJÖLBY</t>
        </is>
      </c>
      <c r="F4808" t="inlineStr">
        <is>
          <t>Kommuner</t>
        </is>
      </c>
      <c r="G4808" t="n">
        <v>5.1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2545-2023</t>
        </is>
      </c>
      <c r="B4809" s="1" t="n">
        <v>44943</v>
      </c>
      <c r="C4809" s="1" t="n">
        <v>45192</v>
      </c>
      <c r="D4809" t="inlineStr">
        <is>
          <t>ÖSTERGÖTLANDS LÄN</t>
        </is>
      </c>
      <c r="E4809" t="inlineStr">
        <is>
          <t>NORRKÖPING</t>
        </is>
      </c>
      <c r="F4809" t="inlineStr">
        <is>
          <t>Holmen skog AB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2631-2023</t>
        </is>
      </c>
      <c r="B4810" s="1" t="n">
        <v>44944</v>
      </c>
      <c r="C4810" s="1" t="n">
        <v>45192</v>
      </c>
      <c r="D4810" t="inlineStr">
        <is>
          <t>ÖSTERGÖTLANDS LÄN</t>
        </is>
      </c>
      <c r="E4810" t="inlineStr">
        <is>
          <t>FINSPÅNG</t>
        </is>
      </c>
      <c r="F4810" t="inlineStr">
        <is>
          <t>Holmen skog AB</t>
        </is>
      </c>
      <c r="G4810" t="n">
        <v>17.2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2697-2023</t>
        </is>
      </c>
      <c r="B4811" s="1" t="n">
        <v>44944</v>
      </c>
      <c r="C4811" s="1" t="n">
        <v>45192</v>
      </c>
      <c r="D4811" t="inlineStr">
        <is>
          <t>ÖSTERGÖTLANDS LÄN</t>
        </is>
      </c>
      <c r="E4811" t="inlineStr">
        <is>
          <t>LINKÖPING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2915-2023</t>
        </is>
      </c>
      <c r="B4812" s="1" t="n">
        <v>44944</v>
      </c>
      <c r="C4812" s="1" t="n">
        <v>45192</v>
      </c>
      <c r="D4812" t="inlineStr">
        <is>
          <t>ÖSTERGÖTLANDS LÄN</t>
        </is>
      </c>
      <c r="E4812" t="inlineStr">
        <is>
          <t>YDRE</t>
        </is>
      </c>
      <c r="G4812" t="n">
        <v>3.4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2826-2023</t>
        </is>
      </c>
      <c r="B4813" s="1" t="n">
        <v>44945</v>
      </c>
      <c r="C4813" s="1" t="n">
        <v>45192</v>
      </c>
      <c r="D4813" t="inlineStr">
        <is>
          <t>ÖSTERGÖTLANDS LÄN</t>
        </is>
      </c>
      <c r="E4813" t="inlineStr">
        <is>
          <t>VALDEMARSVIK</t>
        </is>
      </c>
      <c r="G4813" t="n">
        <v>1.1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2956-2023</t>
        </is>
      </c>
      <c r="B4814" s="1" t="n">
        <v>44945</v>
      </c>
      <c r="C4814" s="1" t="n">
        <v>45192</v>
      </c>
      <c r="D4814" t="inlineStr">
        <is>
          <t>ÖSTERGÖTLANDS LÄN</t>
        </is>
      </c>
      <c r="E4814" t="inlineStr">
        <is>
          <t>SÖDERKÖPING</t>
        </is>
      </c>
      <c r="G4814" t="n">
        <v>1.8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3011-2023</t>
        </is>
      </c>
      <c r="B4815" s="1" t="n">
        <v>44945</v>
      </c>
      <c r="C4815" s="1" t="n">
        <v>45192</v>
      </c>
      <c r="D4815" t="inlineStr">
        <is>
          <t>ÖSTERGÖTLANDS LÄN</t>
        </is>
      </c>
      <c r="E4815" t="inlineStr">
        <is>
          <t>LINKÖPING</t>
        </is>
      </c>
      <c r="G4815" t="n">
        <v>0.6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3007-2023</t>
        </is>
      </c>
      <c r="B4816" s="1" t="n">
        <v>44945</v>
      </c>
      <c r="C4816" s="1" t="n">
        <v>45192</v>
      </c>
      <c r="D4816" t="inlineStr">
        <is>
          <t>ÖSTERGÖTLANDS LÄN</t>
        </is>
      </c>
      <c r="E4816" t="inlineStr">
        <is>
          <t>LINKÖPING</t>
        </is>
      </c>
      <c r="G4816" t="n">
        <v>2.6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2921-2023</t>
        </is>
      </c>
      <c r="B4817" s="1" t="n">
        <v>44945</v>
      </c>
      <c r="C4817" s="1" t="n">
        <v>45192</v>
      </c>
      <c r="D4817" t="inlineStr">
        <is>
          <t>ÖSTERGÖTLANDS LÄN</t>
        </is>
      </c>
      <c r="E4817" t="inlineStr">
        <is>
          <t>SÖDERKÖPING</t>
        </is>
      </c>
      <c r="G4817" t="n">
        <v>2.4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3006-2023</t>
        </is>
      </c>
      <c r="B4818" s="1" t="n">
        <v>44945</v>
      </c>
      <c r="C4818" s="1" t="n">
        <v>45192</v>
      </c>
      <c r="D4818" t="inlineStr">
        <is>
          <t>ÖSTERGÖTLANDS LÄN</t>
        </is>
      </c>
      <c r="E4818" t="inlineStr">
        <is>
          <t>LINKÖPING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3077-2023</t>
        </is>
      </c>
      <c r="B4819" s="1" t="n">
        <v>44946</v>
      </c>
      <c r="C4819" s="1" t="n">
        <v>45192</v>
      </c>
      <c r="D4819" t="inlineStr">
        <is>
          <t>ÖSTERGÖTLANDS LÄN</t>
        </is>
      </c>
      <c r="E4819" t="inlineStr">
        <is>
          <t>LINKÖPING</t>
        </is>
      </c>
      <c r="G4819" t="n">
        <v>2.1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3110-2023</t>
        </is>
      </c>
      <c r="B4820" s="1" t="n">
        <v>44946</v>
      </c>
      <c r="C4820" s="1" t="n">
        <v>45192</v>
      </c>
      <c r="D4820" t="inlineStr">
        <is>
          <t>ÖSTERGÖTLANDS LÄN</t>
        </is>
      </c>
      <c r="E4820" t="inlineStr">
        <is>
          <t>SÖDERKÖPING</t>
        </is>
      </c>
      <c r="G4820" t="n">
        <v>18.8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3084-2023</t>
        </is>
      </c>
      <c r="B4821" s="1" t="n">
        <v>44946</v>
      </c>
      <c r="C4821" s="1" t="n">
        <v>45192</v>
      </c>
      <c r="D4821" t="inlineStr">
        <is>
          <t>ÖSTERGÖTLANDS LÄN</t>
        </is>
      </c>
      <c r="E4821" t="inlineStr">
        <is>
          <t>SÖDERKÖPING</t>
        </is>
      </c>
      <c r="G4821" t="n">
        <v>5.5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3059-2023</t>
        </is>
      </c>
      <c r="B4822" s="1" t="n">
        <v>44946</v>
      </c>
      <c r="C4822" s="1" t="n">
        <v>45192</v>
      </c>
      <c r="D4822" t="inlineStr">
        <is>
          <t>ÖSTERGÖTLANDS LÄN</t>
        </is>
      </c>
      <c r="E4822" t="inlineStr">
        <is>
          <t>FINSPÅNG</t>
        </is>
      </c>
      <c r="G4822" t="n">
        <v>0.9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3107-2023</t>
        </is>
      </c>
      <c r="B4823" s="1" t="n">
        <v>44946</v>
      </c>
      <c r="C4823" s="1" t="n">
        <v>45192</v>
      </c>
      <c r="D4823" t="inlineStr">
        <is>
          <t>ÖSTERGÖTLANDS LÄN</t>
        </is>
      </c>
      <c r="E4823" t="inlineStr">
        <is>
          <t>FINSPÅNG</t>
        </is>
      </c>
      <c r="F4823" t="inlineStr">
        <is>
          <t>Holmen skog AB</t>
        </is>
      </c>
      <c r="G4823" t="n">
        <v>0.8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3153-2023</t>
        </is>
      </c>
      <c r="B4824" s="1" t="n">
        <v>44946</v>
      </c>
      <c r="C4824" s="1" t="n">
        <v>45192</v>
      </c>
      <c r="D4824" t="inlineStr">
        <is>
          <t>ÖSTERGÖTLANDS LÄN</t>
        </is>
      </c>
      <c r="E4824" t="inlineStr">
        <is>
          <t>SÖDERKÖPING</t>
        </is>
      </c>
      <c r="G4824" t="n">
        <v>0.5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3271-2023</t>
        </is>
      </c>
      <c r="B4825" s="1" t="n">
        <v>44949</v>
      </c>
      <c r="C4825" s="1" t="n">
        <v>45192</v>
      </c>
      <c r="D4825" t="inlineStr">
        <is>
          <t>ÖSTERGÖTLANDS LÄN</t>
        </is>
      </c>
      <c r="E4825" t="inlineStr">
        <is>
          <t>VALDEMARSVIK</t>
        </is>
      </c>
      <c r="G4825" t="n">
        <v>2.3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3474-2023</t>
        </is>
      </c>
      <c r="B4826" s="1" t="n">
        <v>44949</v>
      </c>
      <c r="C4826" s="1" t="n">
        <v>45192</v>
      </c>
      <c r="D4826" t="inlineStr">
        <is>
          <t>ÖSTERGÖTLANDS LÄN</t>
        </is>
      </c>
      <c r="E4826" t="inlineStr">
        <is>
          <t>KINDA</t>
        </is>
      </c>
      <c r="G4826" t="n">
        <v>2.5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3345-2023</t>
        </is>
      </c>
      <c r="B4827" s="1" t="n">
        <v>44949</v>
      </c>
      <c r="C4827" s="1" t="n">
        <v>45192</v>
      </c>
      <c r="D4827" t="inlineStr">
        <is>
          <t>ÖSTERGÖTLANDS LÄN</t>
        </is>
      </c>
      <c r="E4827" t="inlineStr">
        <is>
          <t>MOTALA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3374-2023</t>
        </is>
      </c>
      <c r="B4828" s="1" t="n">
        <v>44949</v>
      </c>
      <c r="C4828" s="1" t="n">
        <v>45192</v>
      </c>
      <c r="D4828" t="inlineStr">
        <is>
          <t>ÖSTERGÖTLANDS LÄN</t>
        </is>
      </c>
      <c r="E4828" t="inlineStr">
        <is>
          <t>LINKÖPING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3388-2023</t>
        </is>
      </c>
      <c r="B4829" s="1" t="n">
        <v>44949</v>
      </c>
      <c r="C4829" s="1" t="n">
        <v>45192</v>
      </c>
      <c r="D4829" t="inlineStr">
        <is>
          <t>ÖSTERGÖTLANDS LÄN</t>
        </is>
      </c>
      <c r="E4829" t="inlineStr">
        <is>
          <t>ÅTVIDABERG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3432-2023</t>
        </is>
      </c>
      <c r="B4830" s="1" t="n">
        <v>44949</v>
      </c>
      <c r="C4830" s="1" t="n">
        <v>45192</v>
      </c>
      <c r="D4830" t="inlineStr">
        <is>
          <t>ÖSTERGÖTLANDS LÄN</t>
        </is>
      </c>
      <c r="E4830" t="inlineStr">
        <is>
          <t>LINKÖPING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3267-2023</t>
        </is>
      </c>
      <c r="B4831" s="1" t="n">
        <v>44949</v>
      </c>
      <c r="C4831" s="1" t="n">
        <v>45192</v>
      </c>
      <c r="D4831" t="inlineStr">
        <is>
          <t>ÖSTERGÖTLANDS LÄN</t>
        </is>
      </c>
      <c r="E4831" t="inlineStr">
        <is>
          <t>VALDEMARSVIK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3395-2023</t>
        </is>
      </c>
      <c r="B4832" s="1" t="n">
        <v>44949</v>
      </c>
      <c r="C4832" s="1" t="n">
        <v>45192</v>
      </c>
      <c r="D4832" t="inlineStr">
        <is>
          <t>ÖSTERGÖTLANDS LÄN</t>
        </is>
      </c>
      <c r="E4832" t="inlineStr">
        <is>
          <t>LINKÖPING</t>
        </is>
      </c>
      <c r="G4832" t="n">
        <v>2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3479-2023</t>
        </is>
      </c>
      <c r="B4833" s="1" t="n">
        <v>44949</v>
      </c>
      <c r="C4833" s="1" t="n">
        <v>45192</v>
      </c>
      <c r="D4833" t="inlineStr">
        <is>
          <t>ÖSTERGÖTLANDS LÄN</t>
        </is>
      </c>
      <c r="E4833" t="inlineStr">
        <is>
          <t>LINKÖPING</t>
        </is>
      </c>
      <c r="G4833" t="n">
        <v>3.8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3776-2023</t>
        </is>
      </c>
      <c r="B4834" s="1" t="n">
        <v>44949</v>
      </c>
      <c r="C4834" s="1" t="n">
        <v>45192</v>
      </c>
      <c r="D4834" t="inlineStr">
        <is>
          <t>ÖSTERGÖTLANDS LÄN</t>
        </is>
      </c>
      <c r="E4834" t="inlineStr">
        <is>
          <t>FINSPÅNG</t>
        </is>
      </c>
      <c r="G4834" t="n">
        <v>2.1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3606-2023</t>
        </is>
      </c>
      <c r="B4835" s="1" t="n">
        <v>44950</v>
      </c>
      <c r="C4835" s="1" t="n">
        <v>45192</v>
      </c>
      <c r="D4835" t="inlineStr">
        <is>
          <t>ÖSTERGÖTLANDS LÄN</t>
        </is>
      </c>
      <c r="E4835" t="inlineStr">
        <is>
          <t>NORRKÖPING</t>
        </is>
      </c>
      <c r="G4835" t="n">
        <v>11.8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3650-2023</t>
        </is>
      </c>
      <c r="B4836" s="1" t="n">
        <v>44950</v>
      </c>
      <c r="C4836" s="1" t="n">
        <v>45192</v>
      </c>
      <c r="D4836" t="inlineStr">
        <is>
          <t>ÖSTERGÖTLANDS LÄN</t>
        </is>
      </c>
      <c r="E4836" t="inlineStr">
        <is>
          <t>NORRKÖPING</t>
        </is>
      </c>
      <c r="G4836" t="n">
        <v>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3568-2023</t>
        </is>
      </c>
      <c r="B4837" s="1" t="n">
        <v>44950</v>
      </c>
      <c r="C4837" s="1" t="n">
        <v>45192</v>
      </c>
      <c r="D4837" t="inlineStr">
        <is>
          <t>ÖSTERGÖTLANDS LÄN</t>
        </is>
      </c>
      <c r="E4837" t="inlineStr">
        <is>
          <t>FINSPÅNG</t>
        </is>
      </c>
      <c r="F4837" t="inlineStr">
        <is>
          <t>Holmen skog AB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3930-2023</t>
        </is>
      </c>
      <c r="B4838" s="1" t="n">
        <v>44950</v>
      </c>
      <c r="C4838" s="1" t="n">
        <v>45192</v>
      </c>
      <c r="D4838" t="inlineStr">
        <is>
          <t>ÖSTERGÖTLANDS LÄN</t>
        </is>
      </c>
      <c r="E4838" t="inlineStr">
        <is>
          <t>SÖDERKÖPING</t>
        </is>
      </c>
      <c r="G4838" t="n">
        <v>6.5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3654-2023</t>
        </is>
      </c>
      <c r="B4839" s="1" t="n">
        <v>44950</v>
      </c>
      <c r="C4839" s="1" t="n">
        <v>45192</v>
      </c>
      <c r="D4839" t="inlineStr">
        <is>
          <t>ÖSTERGÖTLANDS LÄN</t>
        </is>
      </c>
      <c r="E4839" t="inlineStr">
        <is>
          <t>MJÖLBY</t>
        </is>
      </c>
      <c r="F4839" t="inlineStr">
        <is>
          <t>Kyrkan</t>
        </is>
      </c>
      <c r="G4839" t="n">
        <v>6.8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3943-2023</t>
        </is>
      </c>
      <c r="B4840" s="1" t="n">
        <v>44950</v>
      </c>
      <c r="C4840" s="1" t="n">
        <v>45192</v>
      </c>
      <c r="D4840" t="inlineStr">
        <is>
          <t>ÖSTERGÖTLANDS LÄN</t>
        </is>
      </c>
      <c r="E4840" t="inlineStr">
        <is>
          <t>SÖDERKÖPING</t>
        </is>
      </c>
      <c r="G4840" t="n">
        <v>5.4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3746-2023</t>
        </is>
      </c>
      <c r="B4841" s="1" t="n">
        <v>44951</v>
      </c>
      <c r="C4841" s="1" t="n">
        <v>45192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0.9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3762-2023</t>
        </is>
      </c>
      <c r="B4842" s="1" t="n">
        <v>44951</v>
      </c>
      <c r="C4842" s="1" t="n">
        <v>45192</v>
      </c>
      <c r="D4842" t="inlineStr">
        <is>
          <t>ÖSTERGÖTLANDS LÄN</t>
        </is>
      </c>
      <c r="E4842" t="inlineStr">
        <is>
          <t>FINSPÅNG</t>
        </is>
      </c>
      <c r="F4842" t="inlineStr">
        <is>
          <t>Holmen skog AB</t>
        </is>
      </c>
      <c r="G4842" t="n">
        <v>1.1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3814-2023</t>
        </is>
      </c>
      <c r="B4843" s="1" t="n">
        <v>44951</v>
      </c>
      <c r="C4843" s="1" t="n">
        <v>45192</v>
      </c>
      <c r="D4843" t="inlineStr">
        <is>
          <t>ÖSTERGÖTLANDS LÄN</t>
        </is>
      </c>
      <c r="E4843" t="inlineStr">
        <is>
          <t>KINDA</t>
        </is>
      </c>
      <c r="G4843" t="n">
        <v>1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4163-2023</t>
        </is>
      </c>
      <c r="B4844" s="1" t="n">
        <v>44951</v>
      </c>
      <c r="C4844" s="1" t="n">
        <v>45192</v>
      </c>
      <c r="D4844" t="inlineStr">
        <is>
          <t>ÖSTERGÖTLANDS LÄN</t>
        </is>
      </c>
      <c r="E4844" t="inlineStr">
        <is>
          <t>LINKÖPING</t>
        </is>
      </c>
      <c r="G4844" t="n">
        <v>5.9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3753-2023</t>
        </is>
      </c>
      <c r="B4845" s="1" t="n">
        <v>44951</v>
      </c>
      <c r="C4845" s="1" t="n">
        <v>45192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1.9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3772-2023</t>
        </is>
      </c>
      <c r="B4846" s="1" t="n">
        <v>44951</v>
      </c>
      <c r="C4846" s="1" t="n">
        <v>45192</v>
      </c>
      <c r="D4846" t="inlineStr">
        <is>
          <t>ÖSTERGÖTLANDS LÄN</t>
        </is>
      </c>
      <c r="E4846" t="inlineStr">
        <is>
          <t>FINSPÅNG</t>
        </is>
      </c>
      <c r="F4846" t="inlineStr">
        <is>
          <t>Holmen skog AB</t>
        </is>
      </c>
      <c r="G4846" t="n">
        <v>0.8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4161-2023</t>
        </is>
      </c>
      <c r="B4847" s="1" t="n">
        <v>44951</v>
      </c>
      <c r="C4847" s="1" t="n">
        <v>45192</v>
      </c>
      <c r="D4847" t="inlineStr">
        <is>
          <t>ÖSTERGÖTLANDS LÄN</t>
        </is>
      </c>
      <c r="E4847" t="inlineStr">
        <is>
          <t>LINKÖPING</t>
        </is>
      </c>
      <c r="G4847" t="n">
        <v>0.7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3911-2023</t>
        </is>
      </c>
      <c r="B4848" s="1" t="n">
        <v>44952</v>
      </c>
      <c r="C4848" s="1" t="n">
        <v>45192</v>
      </c>
      <c r="D4848" t="inlineStr">
        <is>
          <t>ÖSTERGÖTLANDS LÄN</t>
        </is>
      </c>
      <c r="E4848" t="inlineStr">
        <is>
          <t>KINDA</t>
        </is>
      </c>
      <c r="G4848" t="n">
        <v>1.4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3972-2023</t>
        </is>
      </c>
      <c r="B4849" s="1" t="n">
        <v>44952</v>
      </c>
      <c r="C4849" s="1" t="n">
        <v>45192</v>
      </c>
      <c r="D4849" t="inlineStr">
        <is>
          <t>ÖSTERGÖTLANDS LÄN</t>
        </is>
      </c>
      <c r="E4849" t="inlineStr">
        <is>
          <t>KINDA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4658-2023</t>
        </is>
      </c>
      <c r="B4850" s="1" t="n">
        <v>44952</v>
      </c>
      <c r="C4850" s="1" t="n">
        <v>45192</v>
      </c>
      <c r="D4850" t="inlineStr">
        <is>
          <t>ÖSTERGÖTLANDS LÄN</t>
        </is>
      </c>
      <c r="E4850" t="inlineStr">
        <is>
          <t>KINDA</t>
        </is>
      </c>
      <c r="G4850" t="n">
        <v>1.7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3908-2023</t>
        </is>
      </c>
      <c r="B4851" s="1" t="n">
        <v>44952</v>
      </c>
      <c r="C4851" s="1" t="n">
        <v>45192</v>
      </c>
      <c r="D4851" t="inlineStr">
        <is>
          <t>ÖSTERGÖTLANDS LÄN</t>
        </is>
      </c>
      <c r="E4851" t="inlineStr">
        <is>
          <t>KINDA</t>
        </is>
      </c>
      <c r="G4851" t="n">
        <v>2.3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3905-2023</t>
        </is>
      </c>
      <c r="B4852" s="1" t="n">
        <v>44952</v>
      </c>
      <c r="C4852" s="1" t="n">
        <v>45192</v>
      </c>
      <c r="D4852" t="inlineStr">
        <is>
          <t>ÖSTERGÖTLANDS LÄN</t>
        </is>
      </c>
      <c r="E4852" t="inlineStr">
        <is>
          <t>KINDA</t>
        </is>
      </c>
      <c r="G4852" t="n">
        <v>2.7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4047-2023</t>
        </is>
      </c>
      <c r="B4853" s="1" t="n">
        <v>44952</v>
      </c>
      <c r="C4853" s="1" t="n">
        <v>45192</v>
      </c>
      <c r="D4853" t="inlineStr">
        <is>
          <t>ÖSTERGÖTLANDS LÄN</t>
        </is>
      </c>
      <c r="E4853" t="inlineStr">
        <is>
          <t>VALDEMARSVIK</t>
        </is>
      </c>
      <c r="G4853" t="n">
        <v>6.5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4089-2023</t>
        </is>
      </c>
      <c r="B4854" s="1" t="n">
        <v>44952</v>
      </c>
      <c r="C4854" s="1" t="n">
        <v>45192</v>
      </c>
      <c r="D4854" t="inlineStr">
        <is>
          <t>ÖSTERGÖTLANDS LÄN</t>
        </is>
      </c>
      <c r="E4854" t="inlineStr">
        <is>
          <t>ÅTVIDABERG</t>
        </is>
      </c>
      <c r="G4854" t="n">
        <v>1.5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4094-2023</t>
        </is>
      </c>
      <c r="B4855" s="1" t="n">
        <v>44952</v>
      </c>
      <c r="C4855" s="1" t="n">
        <v>45192</v>
      </c>
      <c r="D4855" t="inlineStr">
        <is>
          <t>ÖSTERGÖTLANDS LÄN</t>
        </is>
      </c>
      <c r="E4855" t="inlineStr">
        <is>
          <t>ÅTVIDABERG</t>
        </is>
      </c>
      <c r="G4855" t="n">
        <v>1.9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4659-2023</t>
        </is>
      </c>
      <c r="B4856" s="1" t="n">
        <v>44952</v>
      </c>
      <c r="C4856" s="1" t="n">
        <v>45192</v>
      </c>
      <c r="D4856" t="inlineStr">
        <is>
          <t>ÖSTERGÖTLANDS LÄN</t>
        </is>
      </c>
      <c r="E4856" t="inlineStr">
        <is>
          <t>KINDA</t>
        </is>
      </c>
      <c r="G4856" t="n">
        <v>1.1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3910-2023</t>
        </is>
      </c>
      <c r="B4857" s="1" t="n">
        <v>44952</v>
      </c>
      <c r="C4857" s="1" t="n">
        <v>45192</v>
      </c>
      <c r="D4857" t="inlineStr">
        <is>
          <t>ÖSTERGÖTLANDS LÄN</t>
        </is>
      </c>
      <c r="E4857" t="inlineStr">
        <is>
          <t>KINDA</t>
        </is>
      </c>
      <c r="G4857" t="n">
        <v>2.7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4091-2023</t>
        </is>
      </c>
      <c r="B4858" s="1" t="n">
        <v>44952</v>
      </c>
      <c r="C4858" s="1" t="n">
        <v>45192</v>
      </c>
      <c r="D4858" t="inlineStr">
        <is>
          <t>ÖSTERGÖTLANDS LÄN</t>
        </is>
      </c>
      <c r="E4858" t="inlineStr">
        <is>
          <t>ÅTVIDABERG</t>
        </is>
      </c>
      <c r="G4858" t="n">
        <v>2.9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4269-2023</t>
        </is>
      </c>
      <c r="B4859" s="1" t="n">
        <v>44953</v>
      </c>
      <c r="C4859" s="1" t="n">
        <v>45192</v>
      </c>
      <c r="D4859" t="inlineStr">
        <is>
          <t>ÖSTERGÖTLANDS LÄN</t>
        </is>
      </c>
      <c r="E4859" t="inlineStr">
        <is>
          <t>YDRE</t>
        </is>
      </c>
      <c r="G4859" t="n">
        <v>9.800000000000001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4298-2023</t>
        </is>
      </c>
      <c r="B4860" s="1" t="n">
        <v>44953</v>
      </c>
      <c r="C4860" s="1" t="n">
        <v>45192</v>
      </c>
      <c r="D4860" t="inlineStr">
        <is>
          <t>ÖSTERGÖTLANDS LÄN</t>
        </is>
      </c>
      <c r="E4860" t="inlineStr">
        <is>
          <t>LINKÖPING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4270-2023</t>
        </is>
      </c>
      <c r="B4861" s="1" t="n">
        <v>44953</v>
      </c>
      <c r="C4861" s="1" t="n">
        <v>45192</v>
      </c>
      <c r="D4861" t="inlineStr">
        <is>
          <t>ÖSTERGÖTLANDS LÄN</t>
        </is>
      </c>
      <c r="E4861" t="inlineStr">
        <is>
          <t>YDRE</t>
        </is>
      </c>
      <c r="G4861" t="n">
        <v>1.4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5086-2023</t>
        </is>
      </c>
      <c r="B4862" s="1" t="n">
        <v>44953</v>
      </c>
      <c r="C4862" s="1" t="n">
        <v>45192</v>
      </c>
      <c r="D4862" t="inlineStr">
        <is>
          <t>ÖSTERGÖTLANDS LÄN</t>
        </is>
      </c>
      <c r="E4862" t="inlineStr">
        <is>
          <t>KINDA</t>
        </is>
      </c>
      <c r="G4862" t="n">
        <v>4.2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4139-2023</t>
        </is>
      </c>
      <c r="B4863" s="1" t="n">
        <v>44953</v>
      </c>
      <c r="C4863" s="1" t="n">
        <v>45192</v>
      </c>
      <c r="D4863" t="inlineStr">
        <is>
          <t>ÖSTERGÖTLANDS LÄN</t>
        </is>
      </c>
      <c r="E4863" t="inlineStr">
        <is>
          <t>FINSPÅNG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4143-2023</t>
        </is>
      </c>
      <c r="B4864" s="1" t="n">
        <v>44953</v>
      </c>
      <c r="C4864" s="1" t="n">
        <v>45192</v>
      </c>
      <c r="D4864" t="inlineStr">
        <is>
          <t>ÖSTERGÖTLANDS LÄN</t>
        </is>
      </c>
      <c r="E4864" t="inlineStr">
        <is>
          <t>VALDEMARSVIK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4271-2023</t>
        </is>
      </c>
      <c r="B4865" s="1" t="n">
        <v>44953</v>
      </c>
      <c r="C4865" s="1" t="n">
        <v>45192</v>
      </c>
      <c r="D4865" t="inlineStr">
        <is>
          <t>ÖSTERGÖTLANDS LÄN</t>
        </is>
      </c>
      <c r="E4865" t="inlineStr">
        <is>
          <t>YDRE</t>
        </is>
      </c>
      <c r="G4865" t="n">
        <v>6.7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4288-2023</t>
        </is>
      </c>
      <c r="B4866" s="1" t="n">
        <v>44953</v>
      </c>
      <c r="C4866" s="1" t="n">
        <v>45192</v>
      </c>
      <c r="D4866" t="inlineStr">
        <is>
          <t>ÖSTERGÖTLANDS LÄN</t>
        </is>
      </c>
      <c r="E4866" t="inlineStr">
        <is>
          <t>KINDA</t>
        </is>
      </c>
      <c r="G4866" t="n">
        <v>1.9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4318-2023</t>
        </is>
      </c>
      <c r="B4867" s="1" t="n">
        <v>44953</v>
      </c>
      <c r="C4867" s="1" t="n">
        <v>45192</v>
      </c>
      <c r="D4867" t="inlineStr">
        <is>
          <t>ÖSTERGÖTLANDS LÄN</t>
        </is>
      </c>
      <c r="E4867" t="inlineStr">
        <is>
          <t>SÖDERKÖPING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4255-2023</t>
        </is>
      </c>
      <c r="B4868" s="1" t="n">
        <v>44953</v>
      </c>
      <c r="C4868" s="1" t="n">
        <v>45192</v>
      </c>
      <c r="D4868" t="inlineStr">
        <is>
          <t>ÖSTERGÖTLANDS LÄN</t>
        </is>
      </c>
      <c r="E4868" t="inlineStr">
        <is>
          <t>MOTALA</t>
        </is>
      </c>
      <c r="G4868" t="n">
        <v>0.5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4280-2023</t>
        </is>
      </c>
      <c r="B4869" s="1" t="n">
        <v>44953</v>
      </c>
      <c r="C4869" s="1" t="n">
        <v>45192</v>
      </c>
      <c r="D4869" t="inlineStr">
        <is>
          <t>ÖSTERGÖTLANDS LÄN</t>
        </is>
      </c>
      <c r="E4869" t="inlineStr">
        <is>
          <t>FINSPÅNG</t>
        </is>
      </c>
      <c r="F4869" t="inlineStr">
        <is>
          <t>Holmen skog AB</t>
        </is>
      </c>
      <c r="G4869" t="n">
        <v>0.8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4331-2023</t>
        </is>
      </c>
      <c r="B4870" s="1" t="n">
        <v>44953</v>
      </c>
      <c r="C4870" s="1" t="n">
        <v>45192</v>
      </c>
      <c r="D4870" t="inlineStr">
        <is>
          <t>ÖSTERGÖTLANDS LÄN</t>
        </is>
      </c>
      <c r="E4870" t="inlineStr">
        <is>
          <t>VALDEMARSVIK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4499-2023</t>
        </is>
      </c>
      <c r="B4871" s="1" t="n">
        <v>44956</v>
      </c>
      <c r="C4871" s="1" t="n">
        <v>45192</v>
      </c>
      <c r="D4871" t="inlineStr">
        <is>
          <t>ÖSTERGÖTLANDS LÄN</t>
        </is>
      </c>
      <c r="E4871" t="inlineStr">
        <is>
          <t>KINDA</t>
        </is>
      </c>
      <c r="G4871" t="n">
        <v>3.8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4546-2023</t>
        </is>
      </c>
      <c r="B4872" s="1" t="n">
        <v>44956</v>
      </c>
      <c r="C4872" s="1" t="n">
        <v>45192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4460-2023</t>
        </is>
      </c>
      <c r="B4873" s="1" t="n">
        <v>44956</v>
      </c>
      <c r="C4873" s="1" t="n">
        <v>45192</v>
      </c>
      <c r="D4873" t="inlineStr">
        <is>
          <t>ÖSTERGÖTLANDS LÄN</t>
        </is>
      </c>
      <c r="E4873" t="inlineStr">
        <is>
          <t>NORRKÖPING</t>
        </is>
      </c>
      <c r="F4873" t="inlineStr">
        <is>
          <t>Holmen skog AB</t>
        </is>
      </c>
      <c r="G4873" t="n">
        <v>0.9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4555-2023</t>
        </is>
      </c>
      <c r="B4874" s="1" t="n">
        <v>44956</v>
      </c>
      <c r="C4874" s="1" t="n">
        <v>45192</v>
      </c>
      <c r="D4874" t="inlineStr">
        <is>
          <t>ÖSTERGÖTLANDS LÄN</t>
        </is>
      </c>
      <c r="E4874" t="inlineStr">
        <is>
          <t>KINDA</t>
        </is>
      </c>
      <c r="G4874" t="n">
        <v>1.1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4809-2023</t>
        </is>
      </c>
      <c r="B4875" s="1" t="n">
        <v>44956</v>
      </c>
      <c r="C4875" s="1" t="n">
        <v>45192</v>
      </c>
      <c r="D4875" t="inlineStr">
        <is>
          <t>ÖSTERGÖTLANDS LÄN</t>
        </is>
      </c>
      <c r="E4875" t="inlineStr">
        <is>
          <t>FINSPÅNG</t>
        </is>
      </c>
      <c r="G4875" t="n">
        <v>11.5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4743-2023</t>
        </is>
      </c>
      <c r="B4876" s="1" t="n">
        <v>44957</v>
      </c>
      <c r="C4876" s="1" t="n">
        <v>45192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4826-2023</t>
        </is>
      </c>
      <c r="B4877" s="1" t="n">
        <v>44957</v>
      </c>
      <c r="C4877" s="1" t="n">
        <v>45192</v>
      </c>
      <c r="D4877" t="inlineStr">
        <is>
          <t>ÖSTERGÖTLANDS LÄN</t>
        </is>
      </c>
      <c r="E4877" t="inlineStr">
        <is>
          <t>NORRKÖPING</t>
        </is>
      </c>
      <c r="F4877" t="inlineStr">
        <is>
          <t>Holmen skog AB</t>
        </is>
      </c>
      <c r="G4877" t="n">
        <v>5.1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4855-2023</t>
        </is>
      </c>
      <c r="B4878" s="1" t="n">
        <v>44957</v>
      </c>
      <c r="C4878" s="1" t="n">
        <v>45192</v>
      </c>
      <c r="D4878" t="inlineStr">
        <is>
          <t>ÖSTERGÖTLANDS LÄN</t>
        </is>
      </c>
      <c r="E4878" t="inlineStr">
        <is>
          <t>VALDEMARSVIK</t>
        </is>
      </c>
      <c r="G4878" t="n">
        <v>4.2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4856-2023</t>
        </is>
      </c>
      <c r="B4879" s="1" t="n">
        <v>44957</v>
      </c>
      <c r="C4879" s="1" t="n">
        <v>45192</v>
      </c>
      <c r="D4879" t="inlineStr">
        <is>
          <t>ÖSTERGÖTLANDS LÄN</t>
        </is>
      </c>
      <c r="E4879" t="inlineStr">
        <is>
          <t>VALDEMARSVIK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4770-2023</t>
        </is>
      </c>
      <c r="B4880" s="1" t="n">
        <v>44957</v>
      </c>
      <c r="C4880" s="1" t="n">
        <v>45192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0.6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5516-2023</t>
        </is>
      </c>
      <c r="B4881" s="1" t="n">
        <v>44957</v>
      </c>
      <c r="C4881" s="1" t="n">
        <v>45192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Allmännings- och besparingsskogar</t>
        </is>
      </c>
      <c r="G4881" t="n">
        <v>12.5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4924-2023</t>
        </is>
      </c>
      <c r="B4882" s="1" t="n">
        <v>44958</v>
      </c>
      <c r="C4882" s="1" t="n">
        <v>45192</v>
      </c>
      <c r="D4882" t="inlineStr">
        <is>
          <t>ÖSTERGÖTLANDS LÄN</t>
        </is>
      </c>
      <c r="E4882" t="inlineStr">
        <is>
          <t>LINKÖPING</t>
        </is>
      </c>
      <c r="G4882" t="n">
        <v>5.8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5093-2023</t>
        </is>
      </c>
      <c r="B4883" s="1" t="n">
        <v>44958</v>
      </c>
      <c r="C4883" s="1" t="n">
        <v>45192</v>
      </c>
      <c r="D4883" t="inlineStr">
        <is>
          <t>ÖSTERGÖTLANDS LÄN</t>
        </is>
      </c>
      <c r="E4883" t="inlineStr">
        <is>
          <t>FINSPÅNG</t>
        </is>
      </c>
      <c r="F4883" t="inlineStr">
        <is>
          <t>Holmen skog AB</t>
        </is>
      </c>
      <c r="G4883" t="n">
        <v>2.7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5615-2023</t>
        </is>
      </c>
      <c r="B4884" s="1" t="n">
        <v>44958</v>
      </c>
      <c r="C4884" s="1" t="n">
        <v>45192</v>
      </c>
      <c r="D4884" t="inlineStr">
        <is>
          <t>ÖSTERGÖTLANDS LÄN</t>
        </is>
      </c>
      <c r="E4884" t="inlineStr">
        <is>
          <t>SÖDERKÖPING</t>
        </is>
      </c>
      <c r="G4884" t="n">
        <v>1.1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4908-2023</t>
        </is>
      </c>
      <c r="B4885" s="1" t="n">
        <v>44958</v>
      </c>
      <c r="C4885" s="1" t="n">
        <v>45192</v>
      </c>
      <c r="D4885" t="inlineStr">
        <is>
          <t>ÖSTERGÖTLANDS LÄN</t>
        </is>
      </c>
      <c r="E4885" t="inlineStr">
        <is>
          <t>LINKÖPING</t>
        </is>
      </c>
      <c r="G4885" t="n">
        <v>0.7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5073-2023</t>
        </is>
      </c>
      <c r="B4886" s="1" t="n">
        <v>44958</v>
      </c>
      <c r="C4886" s="1" t="n">
        <v>45192</v>
      </c>
      <c r="D4886" t="inlineStr">
        <is>
          <t>ÖSTERGÖTLANDS LÄN</t>
        </is>
      </c>
      <c r="E4886" t="inlineStr">
        <is>
          <t>MOTALA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4913-2023</t>
        </is>
      </c>
      <c r="B4887" s="1" t="n">
        <v>44958</v>
      </c>
      <c r="C4887" s="1" t="n">
        <v>45192</v>
      </c>
      <c r="D4887" t="inlineStr">
        <is>
          <t>ÖSTERGÖTLANDS LÄN</t>
        </is>
      </c>
      <c r="E4887" t="inlineStr">
        <is>
          <t>KINDA</t>
        </is>
      </c>
      <c r="G4887" t="n">
        <v>4.5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5605-2023</t>
        </is>
      </c>
      <c r="B4888" s="1" t="n">
        <v>44958</v>
      </c>
      <c r="C4888" s="1" t="n">
        <v>45192</v>
      </c>
      <c r="D4888" t="inlineStr">
        <is>
          <t>ÖSTERGÖTLANDS LÄN</t>
        </is>
      </c>
      <c r="E4888" t="inlineStr">
        <is>
          <t>NORRKÖPING</t>
        </is>
      </c>
      <c r="G4888" t="n">
        <v>1.4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5323-2023</t>
        </is>
      </c>
      <c r="B4889" s="1" t="n">
        <v>44959</v>
      </c>
      <c r="C4889" s="1" t="n">
        <v>45192</v>
      </c>
      <c r="D4889" t="inlineStr">
        <is>
          <t>ÖSTERGÖTLANDS LÄN</t>
        </is>
      </c>
      <c r="E4889" t="inlineStr">
        <is>
          <t>NORRKÖPING</t>
        </is>
      </c>
      <c r="F4889" t="inlineStr">
        <is>
          <t>Holmen skog AB</t>
        </is>
      </c>
      <c r="G4889" t="n">
        <v>1.9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5426-2023</t>
        </is>
      </c>
      <c r="B4890" s="1" t="n">
        <v>44959</v>
      </c>
      <c r="C4890" s="1" t="n">
        <v>45192</v>
      </c>
      <c r="D4890" t="inlineStr">
        <is>
          <t>ÖSTERGÖTLANDS LÄN</t>
        </is>
      </c>
      <c r="E4890" t="inlineStr">
        <is>
          <t>LINKÖPING</t>
        </is>
      </c>
      <c r="G4890" t="n">
        <v>6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5229-2023</t>
        </is>
      </c>
      <c r="B4891" s="1" t="n">
        <v>44959</v>
      </c>
      <c r="C4891" s="1" t="n">
        <v>45192</v>
      </c>
      <c r="D4891" t="inlineStr">
        <is>
          <t>ÖSTERGÖTLANDS LÄN</t>
        </is>
      </c>
      <c r="E4891" t="inlineStr">
        <is>
          <t>NORRKÖPING</t>
        </is>
      </c>
      <c r="F4891" t="inlineStr">
        <is>
          <t>Holmen skog AB</t>
        </is>
      </c>
      <c r="G4891" t="n">
        <v>4.2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5649-2023</t>
        </is>
      </c>
      <c r="B4892" s="1" t="n">
        <v>44960</v>
      </c>
      <c r="C4892" s="1" t="n">
        <v>45192</v>
      </c>
      <c r="D4892" t="inlineStr">
        <is>
          <t>ÖSTERGÖTLANDS LÄN</t>
        </is>
      </c>
      <c r="E4892" t="inlineStr">
        <is>
          <t>KINDA</t>
        </is>
      </c>
      <c r="G4892" t="n">
        <v>2.5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5580-2023</t>
        </is>
      </c>
      <c r="B4893" s="1" t="n">
        <v>44960</v>
      </c>
      <c r="C4893" s="1" t="n">
        <v>45192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1.6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5585-2023</t>
        </is>
      </c>
      <c r="B4894" s="1" t="n">
        <v>44960</v>
      </c>
      <c r="C4894" s="1" t="n">
        <v>45192</v>
      </c>
      <c r="D4894" t="inlineStr">
        <is>
          <t>ÖSTERGÖTLANDS LÄN</t>
        </is>
      </c>
      <c r="E4894" t="inlineStr">
        <is>
          <t>FINSPÅNG</t>
        </is>
      </c>
      <c r="F4894" t="inlineStr">
        <is>
          <t>Holmen skog AB</t>
        </is>
      </c>
      <c r="G4894" t="n">
        <v>0.8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5918-2023</t>
        </is>
      </c>
      <c r="B4895" s="1" t="n">
        <v>44963</v>
      </c>
      <c r="C4895" s="1" t="n">
        <v>45192</v>
      </c>
      <c r="D4895" t="inlineStr">
        <is>
          <t>ÖSTERGÖTLANDS LÄN</t>
        </is>
      </c>
      <c r="E4895" t="inlineStr">
        <is>
          <t>KINDA</t>
        </is>
      </c>
      <c r="G4895" t="n">
        <v>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5816-2023</t>
        </is>
      </c>
      <c r="B4896" s="1" t="n">
        <v>44963</v>
      </c>
      <c r="C4896" s="1" t="n">
        <v>45192</v>
      </c>
      <c r="D4896" t="inlineStr">
        <is>
          <t>ÖSTERGÖTLANDS LÄN</t>
        </is>
      </c>
      <c r="E4896" t="inlineStr">
        <is>
          <t>KINDA</t>
        </is>
      </c>
      <c r="G4896" t="n">
        <v>2.7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6695-2023</t>
        </is>
      </c>
      <c r="B4897" s="1" t="n">
        <v>44963</v>
      </c>
      <c r="C4897" s="1" t="n">
        <v>45192</v>
      </c>
      <c r="D4897" t="inlineStr">
        <is>
          <t>ÖSTERGÖTLANDS LÄN</t>
        </is>
      </c>
      <c r="E4897" t="inlineStr">
        <is>
          <t>KINDA</t>
        </is>
      </c>
      <c r="G4897" t="n">
        <v>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6170-2023</t>
        </is>
      </c>
      <c r="B4898" s="1" t="n">
        <v>44964</v>
      </c>
      <c r="C4898" s="1" t="n">
        <v>45192</v>
      </c>
      <c r="D4898" t="inlineStr">
        <is>
          <t>ÖSTERGÖTLANDS LÄN</t>
        </is>
      </c>
      <c r="E4898" t="inlineStr">
        <is>
          <t>SÖDERKÖPING</t>
        </is>
      </c>
      <c r="G4898" t="n">
        <v>2.6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6923-2023</t>
        </is>
      </c>
      <c r="B4899" s="1" t="n">
        <v>44964</v>
      </c>
      <c r="C4899" s="1" t="n">
        <v>45192</v>
      </c>
      <c r="D4899" t="inlineStr">
        <is>
          <t>ÖSTERGÖTLANDS LÄN</t>
        </is>
      </c>
      <c r="E4899" t="inlineStr">
        <is>
          <t>LINKÖPING</t>
        </is>
      </c>
      <c r="F4899" t="inlineStr">
        <is>
          <t>Kommuner</t>
        </is>
      </c>
      <c r="G4899" t="n">
        <v>0.9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6077-2023</t>
        </is>
      </c>
      <c r="B4900" s="1" t="n">
        <v>44964</v>
      </c>
      <c r="C4900" s="1" t="n">
        <v>45192</v>
      </c>
      <c r="D4900" t="inlineStr">
        <is>
          <t>ÖSTERGÖTLANDS LÄN</t>
        </is>
      </c>
      <c r="E4900" t="inlineStr">
        <is>
          <t>LINKÖPING</t>
        </is>
      </c>
      <c r="G4900" t="n">
        <v>4.1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6098-2023</t>
        </is>
      </c>
      <c r="B4901" s="1" t="n">
        <v>44964</v>
      </c>
      <c r="C4901" s="1" t="n">
        <v>45192</v>
      </c>
      <c r="D4901" t="inlineStr">
        <is>
          <t>ÖSTERGÖTLANDS LÄN</t>
        </is>
      </c>
      <c r="E4901" t="inlineStr">
        <is>
          <t>KINDA</t>
        </is>
      </c>
      <c r="G4901" t="n">
        <v>1.6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6220-2023</t>
        </is>
      </c>
      <c r="B4902" s="1" t="n">
        <v>44964</v>
      </c>
      <c r="C4902" s="1" t="n">
        <v>45192</v>
      </c>
      <c r="D4902" t="inlineStr">
        <is>
          <t>ÖSTERGÖTLANDS LÄN</t>
        </is>
      </c>
      <c r="E4902" t="inlineStr">
        <is>
          <t>ÅTVIDABERG</t>
        </is>
      </c>
      <c r="G4902" t="n">
        <v>0.6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6419-2023</t>
        </is>
      </c>
      <c r="B4903" s="1" t="n">
        <v>44965</v>
      </c>
      <c r="C4903" s="1" t="n">
        <v>45192</v>
      </c>
      <c r="D4903" t="inlineStr">
        <is>
          <t>ÖSTERGÖTLANDS LÄN</t>
        </is>
      </c>
      <c r="E4903" t="inlineStr">
        <is>
          <t>SÖDERKÖPING</t>
        </is>
      </c>
      <c r="G4903" t="n">
        <v>5.4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6407-2023</t>
        </is>
      </c>
      <c r="B4904" s="1" t="n">
        <v>44965</v>
      </c>
      <c r="C4904" s="1" t="n">
        <v>45192</v>
      </c>
      <c r="D4904" t="inlineStr">
        <is>
          <t>ÖSTERGÖTLANDS LÄN</t>
        </is>
      </c>
      <c r="E4904" t="inlineStr">
        <is>
          <t>FINSPÅNG</t>
        </is>
      </c>
      <c r="F4904" t="inlineStr">
        <is>
          <t>Holmen skog AB</t>
        </is>
      </c>
      <c r="G4904" t="n">
        <v>1.8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6261-2023</t>
        </is>
      </c>
      <c r="B4905" s="1" t="n">
        <v>44965</v>
      </c>
      <c r="C4905" s="1" t="n">
        <v>45192</v>
      </c>
      <c r="D4905" t="inlineStr">
        <is>
          <t>ÖSTERGÖTLANDS LÄN</t>
        </is>
      </c>
      <c r="E4905" t="inlineStr">
        <is>
          <t>NORRKÖPING</t>
        </is>
      </c>
      <c r="G4905" t="n">
        <v>1.1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6350-2023</t>
        </is>
      </c>
      <c r="B4906" s="1" t="n">
        <v>44965</v>
      </c>
      <c r="C4906" s="1" t="n">
        <v>45192</v>
      </c>
      <c r="D4906" t="inlineStr">
        <is>
          <t>ÖSTERGÖTLANDS LÄN</t>
        </is>
      </c>
      <c r="E4906" t="inlineStr">
        <is>
          <t>SÖDERKÖPING</t>
        </is>
      </c>
      <c r="G4906" t="n">
        <v>3.6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6372-2023</t>
        </is>
      </c>
      <c r="B4907" s="1" t="n">
        <v>44965</v>
      </c>
      <c r="C4907" s="1" t="n">
        <v>45192</v>
      </c>
      <c r="D4907" t="inlineStr">
        <is>
          <t>ÖSTERGÖTLANDS LÄN</t>
        </is>
      </c>
      <c r="E4907" t="inlineStr">
        <is>
          <t>ÅTVIDABERG</t>
        </is>
      </c>
      <c r="G4907" t="n">
        <v>2.8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6414-2023</t>
        </is>
      </c>
      <c r="B4908" s="1" t="n">
        <v>44965</v>
      </c>
      <c r="C4908" s="1" t="n">
        <v>45192</v>
      </c>
      <c r="D4908" t="inlineStr">
        <is>
          <t>ÖSTERGÖTLANDS LÄN</t>
        </is>
      </c>
      <c r="E4908" t="inlineStr">
        <is>
          <t>FINSPÅNG</t>
        </is>
      </c>
      <c r="F4908" t="inlineStr">
        <is>
          <t>Holmen skog AB</t>
        </is>
      </c>
      <c r="G4908" t="n">
        <v>4.5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6533-2023</t>
        </is>
      </c>
      <c r="B4909" s="1" t="n">
        <v>44966</v>
      </c>
      <c r="C4909" s="1" t="n">
        <v>45192</v>
      </c>
      <c r="D4909" t="inlineStr">
        <is>
          <t>ÖSTERGÖTLANDS LÄN</t>
        </is>
      </c>
      <c r="E4909" t="inlineStr">
        <is>
          <t>SÖDERKÖPING</t>
        </is>
      </c>
      <c r="G4909" t="n">
        <v>5.1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6540-2023</t>
        </is>
      </c>
      <c r="B4910" s="1" t="n">
        <v>44966</v>
      </c>
      <c r="C4910" s="1" t="n">
        <v>45192</v>
      </c>
      <c r="D4910" t="inlineStr">
        <is>
          <t>ÖSTERGÖTLANDS LÄN</t>
        </is>
      </c>
      <c r="E4910" t="inlineStr">
        <is>
          <t>SÖDERKÖPING</t>
        </is>
      </c>
      <c r="G4910" t="n">
        <v>1.1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6723-2023</t>
        </is>
      </c>
      <c r="B4911" s="1" t="n">
        <v>44966</v>
      </c>
      <c r="C4911" s="1" t="n">
        <v>45192</v>
      </c>
      <c r="D4911" t="inlineStr">
        <is>
          <t>ÖSTERGÖTLANDS LÄN</t>
        </is>
      </c>
      <c r="E4911" t="inlineStr">
        <is>
          <t>FINSPÅNG</t>
        </is>
      </c>
      <c r="G4911" t="n">
        <v>4.8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6571-2023</t>
        </is>
      </c>
      <c r="B4912" s="1" t="n">
        <v>44966</v>
      </c>
      <c r="C4912" s="1" t="n">
        <v>45192</v>
      </c>
      <c r="D4912" t="inlineStr">
        <is>
          <t>ÖSTERGÖTLANDS LÄN</t>
        </is>
      </c>
      <c r="E4912" t="inlineStr">
        <is>
          <t>SÖDERKÖPING</t>
        </is>
      </c>
      <c r="G4912" t="n">
        <v>0.8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6628-2023</t>
        </is>
      </c>
      <c r="B4913" s="1" t="n">
        <v>44966</v>
      </c>
      <c r="C4913" s="1" t="n">
        <v>45192</v>
      </c>
      <c r="D4913" t="inlineStr">
        <is>
          <t>ÖSTERGÖTLANDS LÄN</t>
        </is>
      </c>
      <c r="E4913" t="inlineStr">
        <is>
          <t>FINSPÅNG</t>
        </is>
      </c>
      <c r="F4913" t="inlineStr">
        <is>
          <t>Övriga Aktiebolag</t>
        </is>
      </c>
      <c r="G4913" t="n">
        <v>0.7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6659-2023</t>
        </is>
      </c>
      <c r="B4914" s="1" t="n">
        <v>44966</v>
      </c>
      <c r="C4914" s="1" t="n">
        <v>45192</v>
      </c>
      <c r="D4914" t="inlineStr">
        <is>
          <t>ÖSTERGÖTLANDS LÄN</t>
        </is>
      </c>
      <c r="E4914" t="inlineStr">
        <is>
          <t>SÖDERKÖPING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6731-2023</t>
        </is>
      </c>
      <c r="B4915" s="1" t="n">
        <v>44966</v>
      </c>
      <c r="C4915" s="1" t="n">
        <v>45192</v>
      </c>
      <c r="D4915" t="inlineStr">
        <is>
          <t>ÖSTERGÖTLANDS LÄN</t>
        </is>
      </c>
      <c r="E4915" t="inlineStr">
        <is>
          <t>FINSPÅNG</t>
        </is>
      </c>
      <c r="G4915" t="n">
        <v>1.3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6527-2023</t>
        </is>
      </c>
      <c r="B4916" s="1" t="n">
        <v>44966</v>
      </c>
      <c r="C4916" s="1" t="n">
        <v>45192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Holmen skog AB</t>
        </is>
      </c>
      <c r="G4916" t="n">
        <v>0.7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6542-2023</t>
        </is>
      </c>
      <c r="B4917" s="1" t="n">
        <v>44966</v>
      </c>
      <c r="C4917" s="1" t="n">
        <v>45192</v>
      </c>
      <c r="D4917" t="inlineStr">
        <is>
          <t>ÖSTERGÖTLANDS LÄN</t>
        </is>
      </c>
      <c r="E4917" t="inlineStr">
        <is>
          <t>SÖDERKÖPING</t>
        </is>
      </c>
      <c r="G4917" t="n">
        <v>1.8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6697-2023</t>
        </is>
      </c>
      <c r="B4918" s="1" t="n">
        <v>44966</v>
      </c>
      <c r="C4918" s="1" t="n">
        <v>45192</v>
      </c>
      <c r="D4918" t="inlineStr">
        <is>
          <t>ÖSTERGÖTLANDS LÄN</t>
        </is>
      </c>
      <c r="E4918" t="inlineStr">
        <is>
          <t>FINSPÅNG</t>
        </is>
      </c>
      <c r="G4918" t="n">
        <v>3.4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6535-2023</t>
        </is>
      </c>
      <c r="B4919" s="1" t="n">
        <v>44966</v>
      </c>
      <c r="C4919" s="1" t="n">
        <v>45192</v>
      </c>
      <c r="D4919" t="inlineStr">
        <is>
          <t>ÖSTERGÖTLANDS LÄN</t>
        </is>
      </c>
      <c r="E4919" t="inlineStr">
        <is>
          <t>SÖDERKÖPING</t>
        </is>
      </c>
      <c r="G4919" t="n">
        <v>0.5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6546-2023</t>
        </is>
      </c>
      <c r="B4920" s="1" t="n">
        <v>44966</v>
      </c>
      <c r="C4920" s="1" t="n">
        <v>45192</v>
      </c>
      <c r="D4920" t="inlineStr">
        <is>
          <t>ÖSTERGÖTLANDS LÄN</t>
        </is>
      </c>
      <c r="E4920" t="inlineStr">
        <is>
          <t>SÖDERKÖPING</t>
        </is>
      </c>
      <c r="G4920" t="n">
        <v>0.7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6589-2023</t>
        </is>
      </c>
      <c r="B4921" s="1" t="n">
        <v>44966</v>
      </c>
      <c r="C4921" s="1" t="n">
        <v>45192</v>
      </c>
      <c r="D4921" t="inlineStr">
        <is>
          <t>ÖSTERGÖTLANDS LÄN</t>
        </is>
      </c>
      <c r="E4921" t="inlineStr">
        <is>
          <t>FINSPÅNG</t>
        </is>
      </c>
      <c r="G4921" t="n">
        <v>5.2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6884-2023</t>
        </is>
      </c>
      <c r="B4922" s="1" t="n">
        <v>44967</v>
      </c>
      <c r="C4922" s="1" t="n">
        <v>45192</v>
      </c>
      <c r="D4922" t="inlineStr">
        <is>
          <t>ÖSTERGÖTLANDS LÄN</t>
        </is>
      </c>
      <c r="E4922" t="inlineStr">
        <is>
          <t>ÅTVIDABERG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7563-2023</t>
        </is>
      </c>
      <c r="B4923" s="1" t="n">
        <v>44967</v>
      </c>
      <c r="C4923" s="1" t="n">
        <v>45192</v>
      </c>
      <c r="D4923" t="inlineStr">
        <is>
          <t>ÖSTERGÖTLANDS LÄN</t>
        </is>
      </c>
      <c r="E4923" t="inlineStr">
        <is>
          <t>KINDA</t>
        </is>
      </c>
      <c r="G4923" t="n">
        <v>1.2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7702-2023</t>
        </is>
      </c>
      <c r="B4924" s="1" t="n">
        <v>44967</v>
      </c>
      <c r="C4924" s="1" t="n">
        <v>45192</v>
      </c>
      <c r="D4924" t="inlineStr">
        <is>
          <t>ÖSTERGÖTLANDS LÄN</t>
        </is>
      </c>
      <c r="E4924" t="inlineStr">
        <is>
          <t>LINKÖPING</t>
        </is>
      </c>
      <c r="F4924" t="inlineStr">
        <is>
          <t>Övriga statliga verk och myndigheter</t>
        </is>
      </c>
      <c r="G4924" t="n">
        <v>8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7116-2023</t>
        </is>
      </c>
      <c r="B4925" s="1" t="n">
        <v>44970</v>
      </c>
      <c r="C4925" s="1" t="n">
        <v>45192</v>
      </c>
      <c r="D4925" t="inlineStr">
        <is>
          <t>ÖSTERGÖTLANDS LÄN</t>
        </is>
      </c>
      <c r="E4925" t="inlineStr">
        <is>
          <t>NORRKÖPING</t>
        </is>
      </c>
      <c r="F4925" t="inlineStr">
        <is>
          <t>Holmen skog AB</t>
        </is>
      </c>
      <c r="G4925" t="n">
        <v>1.5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7265-2023</t>
        </is>
      </c>
      <c r="B4926" s="1" t="n">
        <v>44970</v>
      </c>
      <c r="C4926" s="1" t="n">
        <v>45192</v>
      </c>
      <c r="D4926" t="inlineStr">
        <is>
          <t>ÖSTERGÖTLANDS LÄN</t>
        </is>
      </c>
      <c r="E4926" t="inlineStr">
        <is>
          <t>NORRKÖPING</t>
        </is>
      </c>
      <c r="G4926" t="n">
        <v>5.9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7844-2023</t>
        </is>
      </c>
      <c r="B4927" s="1" t="n">
        <v>44970</v>
      </c>
      <c r="C4927" s="1" t="n">
        <v>45192</v>
      </c>
      <c r="D4927" t="inlineStr">
        <is>
          <t>ÖSTERGÖTLANDS LÄN</t>
        </is>
      </c>
      <c r="E4927" t="inlineStr">
        <is>
          <t>KINDA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7254-2023</t>
        </is>
      </c>
      <c r="B4928" s="1" t="n">
        <v>44970</v>
      </c>
      <c r="C4928" s="1" t="n">
        <v>45192</v>
      </c>
      <c r="D4928" t="inlineStr">
        <is>
          <t>ÖSTERGÖTLANDS LÄN</t>
        </is>
      </c>
      <c r="E4928" t="inlineStr">
        <is>
          <t>VALDEMARSVIK</t>
        </is>
      </c>
      <c r="G4928" t="n">
        <v>1.8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7270-2023</t>
        </is>
      </c>
      <c r="B4929" s="1" t="n">
        <v>44970</v>
      </c>
      <c r="C4929" s="1" t="n">
        <v>45192</v>
      </c>
      <c r="D4929" t="inlineStr">
        <is>
          <t>ÖSTERGÖTLANDS LÄN</t>
        </is>
      </c>
      <c r="E4929" t="inlineStr">
        <is>
          <t>VALDEMARSVIK</t>
        </is>
      </c>
      <c r="G4929" t="n">
        <v>0.7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7143-2023</t>
        </is>
      </c>
      <c r="B4930" s="1" t="n">
        <v>44970</v>
      </c>
      <c r="C4930" s="1" t="n">
        <v>45192</v>
      </c>
      <c r="D4930" t="inlineStr">
        <is>
          <t>ÖSTERGÖTLANDS LÄN</t>
        </is>
      </c>
      <c r="E4930" t="inlineStr">
        <is>
          <t>ÅTVIDABERG</t>
        </is>
      </c>
      <c r="G4930" t="n">
        <v>20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7169-2023</t>
        </is>
      </c>
      <c r="B4931" s="1" t="n">
        <v>44970</v>
      </c>
      <c r="C4931" s="1" t="n">
        <v>45192</v>
      </c>
      <c r="D4931" t="inlineStr">
        <is>
          <t>ÖSTERGÖTLANDS LÄN</t>
        </is>
      </c>
      <c r="E4931" t="inlineStr">
        <is>
          <t>ÅTVIDABERG</t>
        </is>
      </c>
      <c r="G4931" t="n">
        <v>0.6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7266-2023</t>
        </is>
      </c>
      <c r="B4932" s="1" t="n">
        <v>44970</v>
      </c>
      <c r="C4932" s="1" t="n">
        <v>45192</v>
      </c>
      <c r="D4932" t="inlineStr">
        <is>
          <t>ÖSTERGÖTLANDS LÄN</t>
        </is>
      </c>
      <c r="E4932" t="inlineStr">
        <is>
          <t>VALDEMARSVIK</t>
        </is>
      </c>
      <c r="G4932" t="n">
        <v>3.4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7992-2023</t>
        </is>
      </c>
      <c r="B4933" s="1" t="n">
        <v>44970</v>
      </c>
      <c r="C4933" s="1" t="n">
        <v>45192</v>
      </c>
      <c r="D4933" t="inlineStr">
        <is>
          <t>ÖSTERGÖTLANDS LÄN</t>
        </is>
      </c>
      <c r="E4933" t="inlineStr">
        <is>
          <t>LINKÖPING</t>
        </is>
      </c>
      <c r="F4933" t="inlineStr">
        <is>
          <t>Kommuner</t>
        </is>
      </c>
      <c r="G4933" t="n">
        <v>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7458-2023</t>
        </is>
      </c>
      <c r="B4934" s="1" t="n">
        <v>44971</v>
      </c>
      <c r="C4934" s="1" t="n">
        <v>45192</v>
      </c>
      <c r="D4934" t="inlineStr">
        <is>
          <t>ÖSTERGÖTLANDS LÄN</t>
        </is>
      </c>
      <c r="E4934" t="inlineStr">
        <is>
          <t>YDRE</t>
        </is>
      </c>
      <c r="F4934" t="inlineStr">
        <is>
          <t>Sveaskog</t>
        </is>
      </c>
      <c r="G4934" t="n">
        <v>3.3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7337-2023</t>
        </is>
      </c>
      <c r="B4935" s="1" t="n">
        <v>44971</v>
      </c>
      <c r="C4935" s="1" t="n">
        <v>45192</v>
      </c>
      <c r="D4935" t="inlineStr">
        <is>
          <t>ÖSTERGÖTLANDS LÄN</t>
        </is>
      </c>
      <c r="E4935" t="inlineStr">
        <is>
          <t>MJÖLBY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7345-2023</t>
        </is>
      </c>
      <c r="B4936" s="1" t="n">
        <v>44971</v>
      </c>
      <c r="C4936" s="1" t="n">
        <v>45192</v>
      </c>
      <c r="D4936" t="inlineStr">
        <is>
          <t>ÖSTERGÖTLANDS LÄN</t>
        </is>
      </c>
      <c r="E4936" t="inlineStr">
        <is>
          <t>MOTALA</t>
        </is>
      </c>
      <c r="F4936" t="inlineStr">
        <is>
          <t>Kyrkan</t>
        </is>
      </c>
      <c r="G4936" t="n">
        <v>6.6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7582-2023</t>
        </is>
      </c>
      <c r="B4937" s="1" t="n">
        <v>44972</v>
      </c>
      <c r="C4937" s="1" t="n">
        <v>45192</v>
      </c>
      <c r="D4937" t="inlineStr">
        <is>
          <t>ÖSTERGÖTLANDS LÄN</t>
        </is>
      </c>
      <c r="E4937" t="inlineStr">
        <is>
          <t>VALDEMARSVIK</t>
        </is>
      </c>
      <c r="G4937" t="n">
        <v>3.4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7691-2023</t>
        </is>
      </c>
      <c r="B4938" s="1" t="n">
        <v>44972</v>
      </c>
      <c r="C4938" s="1" t="n">
        <v>45192</v>
      </c>
      <c r="D4938" t="inlineStr">
        <is>
          <t>ÖSTERGÖTLANDS LÄN</t>
        </is>
      </c>
      <c r="E4938" t="inlineStr">
        <is>
          <t>KINDA</t>
        </is>
      </c>
      <c r="G4938" t="n">
        <v>3.6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7609-2023</t>
        </is>
      </c>
      <c r="B4939" s="1" t="n">
        <v>44972</v>
      </c>
      <c r="C4939" s="1" t="n">
        <v>45192</v>
      </c>
      <c r="D4939" t="inlineStr">
        <is>
          <t>ÖSTERGÖTLANDS LÄN</t>
        </is>
      </c>
      <c r="E4939" t="inlineStr">
        <is>
          <t>ÅTVIDABERG</t>
        </is>
      </c>
      <c r="G4939" t="n">
        <v>1.5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7976-2023</t>
        </is>
      </c>
      <c r="B4940" s="1" t="n">
        <v>44973</v>
      </c>
      <c r="C4940" s="1" t="n">
        <v>45192</v>
      </c>
      <c r="D4940" t="inlineStr">
        <is>
          <t>ÖSTERGÖTLANDS LÄN</t>
        </is>
      </c>
      <c r="E4940" t="inlineStr">
        <is>
          <t>ÅTVIDABERG</t>
        </is>
      </c>
      <c r="G4940" t="n">
        <v>1.9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7743-2023</t>
        </is>
      </c>
      <c r="B4941" s="1" t="n">
        <v>44973</v>
      </c>
      <c r="C4941" s="1" t="n">
        <v>45192</v>
      </c>
      <c r="D4941" t="inlineStr">
        <is>
          <t>ÖSTERGÖTLANDS LÄN</t>
        </is>
      </c>
      <c r="E4941" t="inlineStr">
        <is>
          <t>FINSPÅNG</t>
        </is>
      </c>
      <c r="F4941" t="inlineStr">
        <is>
          <t>Holmen skog AB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7937-2023</t>
        </is>
      </c>
      <c r="B4942" s="1" t="n">
        <v>44973</v>
      </c>
      <c r="C4942" s="1" t="n">
        <v>45192</v>
      </c>
      <c r="D4942" t="inlineStr">
        <is>
          <t>ÖSTERGÖTLANDS LÄN</t>
        </is>
      </c>
      <c r="E4942" t="inlineStr">
        <is>
          <t>MOTALA</t>
        </is>
      </c>
      <c r="F4942" t="inlineStr">
        <is>
          <t>Allmännings- och besparingsskogar</t>
        </is>
      </c>
      <c r="G4942" t="n">
        <v>9.4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8188-2023</t>
        </is>
      </c>
      <c r="B4943" s="1" t="n">
        <v>44974</v>
      </c>
      <c r="C4943" s="1" t="n">
        <v>45192</v>
      </c>
      <c r="D4943" t="inlineStr">
        <is>
          <t>ÖSTERGÖTLANDS LÄN</t>
        </is>
      </c>
      <c r="E4943" t="inlineStr">
        <is>
          <t>KINDA</t>
        </is>
      </c>
      <c r="F4943" t="inlineStr">
        <is>
          <t>Sveaskog</t>
        </is>
      </c>
      <c r="G4943" t="n">
        <v>8.5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8259-2023</t>
        </is>
      </c>
      <c r="B4944" s="1" t="n">
        <v>44974</v>
      </c>
      <c r="C4944" s="1" t="n">
        <v>45192</v>
      </c>
      <c r="D4944" t="inlineStr">
        <is>
          <t>ÖSTERGÖTLANDS LÄN</t>
        </is>
      </c>
      <c r="E4944" t="inlineStr">
        <is>
          <t>ÖDESHÖG</t>
        </is>
      </c>
      <c r="G4944" t="n">
        <v>3.5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8256-2023</t>
        </is>
      </c>
      <c r="B4945" s="1" t="n">
        <v>44974</v>
      </c>
      <c r="C4945" s="1" t="n">
        <v>45192</v>
      </c>
      <c r="D4945" t="inlineStr">
        <is>
          <t>ÖSTERGÖTLANDS LÄN</t>
        </is>
      </c>
      <c r="E4945" t="inlineStr">
        <is>
          <t>ÖDESHÖG</t>
        </is>
      </c>
      <c r="G4945" t="n">
        <v>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8189-2023</t>
        </is>
      </c>
      <c r="B4946" s="1" t="n">
        <v>44974</v>
      </c>
      <c r="C4946" s="1" t="n">
        <v>45192</v>
      </c>
      <c r="D4946" t="inlineStr">
        <is>
          <t>ÖSTERGÖTLANDS LÄN</t>
        </is>
      </c>
      <c r="E4946" t="inlineStr">
        <is>
          <t>KINDA</t>
        </is>
      </c>
      <c r="F4946" t="inlineStr">
        <is>
          <t>Sveaskog</t>
        </is>
      </c>
      <c r="G4946" t="n">
        <v>2.8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8143-2023</t>
        </is>
      </c>
      <c r="B4947" s="1" t="n">
        <v>44974</v>
      </c>
      <c r="C4947" s="1" t="n">
        <v>45192</v>
      </c>
      <c r="D4947" t="inlineStr">
        <is>
          <t>ÖSTERGÖTLANDS LÄN</t>
        </is>
      </c>
      <c r="E4947" t="inlineStr">
        <is>
          <t>VALDEMARSVIK</t>
        </is>
      </c>
      <c r="G4947" t="n">
        <v>0.7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8245-2023</t>
        </is>
      </c>
      <c r="B4948" s="1" t="n">
        <v>44974</v>
      </c>
      <c r="C4948" s="1" t="n">
        <v>45192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Holmen skog AB</t>
        </is>
      </c>
      <c r="G4948" t="n">
        <v>1.7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8987-2023</t>
        </is>
      </c>
      <c r="B4949" s="1" t="n">
        <v>44974</v>
      </c>
      <c r="C4949" s="1" t="n">
        <v>45192</v>
      </c>
      <c r="D4949" t="inlineStr">
        <is>
          <t>ÖSTERGÖTLANDS LÄN</t>
        </is>
      </c>
      <c r="E4949" t="inlineStr">
        <is>
          <t>NORRKÖPING</t>
        </is>
      </c>
      <c r="F4949" t="inlineStr">
        <is>
          <t>Allmännings- och besparingsskogar</t>
        </is>
      </c>
      <c r="G4949" t="n">
        <v>0.5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9203-2023</t>
        </is>
      </c>
      <c r="B4950" s="1" t="n">
        <v>44977</v>
      </c>
      <c r="C4950" s="1" t="n">
        <v>45192</v>
      </c>
      <c r="D4950" t="inlineStr">
        <is>
          <t>ÖSTERGÖTLANDS LÄN</t>
        </is>
      </c>
      <c r="E4950" t="inlineStr">
        <is>
          <t>KINDA</t>
        </is>
      </c>
      <c r="G4950" t="n">
        <v>1.5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8433-2023</t>
        </is>
      </c>
      <c r="B4951" s="1" t="n">
        <v>44977</v>
      </c>
      <c r="C4951" s="1" t="n">
        <v>45192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3.6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8444-2023</t>
        </is>
      </c>
      <c r="B4952" s="1" t="n">
        <v>44977</v>
      </c>
      <c r="C4952" s="1" t="n">
        <v>45192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1.9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8398-2023</t>
        </is>
      </c>
      <c r="B4953" s="1" t="n">
        <v>44977</v>
      </c>
      <c r="C4953" s="1" t="n">
        <v>45192</v>
      </c>
      <c r="D4953" t="inlineStr">
        <is>
          <t>ÖSTERGÖTLANDS LÄN</t>
        </is>
      </c>
      <c r="E4953" t="inlineStr">
        <is>
          <t>NORRKÖPING</t>
        </is>
      </c>
      <c r="F4953" t="inlineStr">
        <is>
          <t>Holmen skog AB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8454-2023</t>
        </is>
      </c>
      <c r="B4954" s="1" t="n">
        <v>44977</v>
      </c>
      <c r="C4954" s="1" t="n">
        <v>45192</v>
      </c>
      <c r="D4954" t="inlineStr">
        <is>
          <t>ÖSTERGÖTLANDS LÄN</t>
        </is>
      </c>
      <c r="E4954" t="inlineStr">
        <is>
          <t>NORRKÖPING</t>
        </is>
      </c>
      <c r="G4954" t="n">
        <v>2.8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8508-2023</t>
        </is>
      </c>
      <c r="B4955" s="1" t="n">
        <v>44977</v>
      </c>
      <c r="C4955" s="1" t="n">
        <v>45192</v>
      </c>
      <c r="D4955" t="inlineStr">
        <is>
          <t>ÖSTERGÖTLANDS LÄN</t>
        </is>
      </c>
      <c r="E4955" t="inlineStr">
        <is>
          <t>KINDA</t>
        </is>
      </c>
      <c r="G4955" t="n">
        <v>2.7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8596-2023</t>
        </is>
      </c>
      <c r="B4956" s="1" t="n">
        <v>44977</v>
      </c>
      <c r="C4956" s="1" t="n">
        <v>45192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0.9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8602-2023</t>
        </is>
      </c>
      <c r="B4957" s="1" t="n">
        <v>44977</v>
      </c>
      <c r="C4957" s="1" t="n">
        <v>45192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Holmen skog AB</t>
        </is>
      </c>
      <c r="G4957" t="n">
        <v>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9952-2023</t>
        </is>
      </c>
      <c r="B4958" s="1" t="n">
        <v>44978</v>
      </c>
      <c r="C4958" s="1" t="n">
        <v>45192</v>
      </c>
      <c r="D4958" t="inlineStr">
        <is>
          <t>ÖSTERGÖTLANDS LÄN</t>
        </is>
      </c>
      <c r="E4958" t="inlineStr">
        <is>
          <t>KINDA</t>
        </is>
      </c>
      <c r="G4958" t="n">
        <v>1.6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8799-2023</t>
        </is>
      </c>
      <c r="B4959" s="1" t="n">
        <v>44978</v>
      </c>
      <c r="C4959" s="1" t="n">
        <v>45192</v>
      </c>
      <c r="D4959" t="inlineStr">
        <is>
          <t>ÖSTERGÖTLANDS LÄN</t>
        </is>
      </c>
      <c r="E4959" t="inlineStr">
        <is>
          <t>SÖDERKÖPING</t>
        </is>
      </c>
      <c r="F4959" t="inlineStr">
        <is>
          <t>Allmännings- och besparingsskogar</t>
        </is>
      </c>
      <c r="G4959" t="n">
        <v>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9940-2023</t>
        </is>
      </c>
      <c r="B4960" s="1" t="n">
        <v>44978</v>
      </c>
      <c r="C4960" s="1" t="n">
        <v>45192</v>
      </c>
      <c r="D4960" t="inlineStr">
        <is>
          <t>ÖSTERGÖTLANDS LÄN</t>
        </is>
      </c>
      <c r="E4960" t="inlineStr">
        <is>
          <t>KINDA</t>
        </is>
      </c>
      <c r="G4960" t="n">
        <v>6.6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9002-2023</t>
        </is>
      </c>
      <c r="B4961" s="1" t="n">
        <v>44979</v>
      </c>
      <c r="C4961" s="1" t="n">
        <v>45192</v>
      </c>
      <c r="D4961" t="inlineStr">
        <is>
          <t>ÖSTERGÖTLANDS LÄN</t>
        </is>
      </c>
      <c r="E4961" t="inlineStr">
        <is>
          <t>SÖDERKÖPING</t>
        </is>
      </c>
      <c r="F4961" t="inlineStr">
        <is>
          <t>Allmännings- och besparingsskogar</t>
        </is>
      </c>
      <c r="G4961" t="n">
        <v>3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8998-2023</t>
        </is>
      </c>
      <c r="B4962" s="1" t="n">
        <v>44979</v>
      </c>
      <c r="C4962" s="1" t="n">
        <v>45192</v>
      </c>
      <c r="D4962" t="inlineStr">
        <is>
          <t>ÖSTERGÖTLANDS LÄN</t>
        </is>
      </c>
      <c r="E4962" t="inlineStr">
        <is>
          <t>ÖDESHÖG</t>
        </is>
      </c>
      <c r="G4962" t="n">
        <v>2.1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9256-2023</t>
        </is>
      </c>
      <c r="B4963" s="1" t="n">
        <v>44980</v>
      </c>
      <c r="C4963" s="1" t="n">
        <v>45192</v>
      </c>
      <c r="D4963" t="inlineStr">
        <is>
          <t>ÖSTERGÖTLANDS LÄN</t>
        </is>
      </c>
      <c r="E4963" t="inlineStr">
        <is>
          <t>ÅTVIDABERG</t>
        </is>
      </c>
      <c r="G4963" t="n">
        <v>4.3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9292-2023</t>
        </is>
      </c>
      <c r="B4964" s="1" t="n">
        <v>44980</v>
      </c>
      <c r="C4964" s="1" t="n">
        <v>45192</v>
      </c>
      <c r="D4964" t="inlineStr">
        <is>
          <t>ÖSTERGÖTLANDS LÄN</t>
        </is>
      </c>
      <c r="E4964" t="inlineStr">
        <is>
          <t>VALDEMARSVIK</t>
        </is>
      </c>
      <c r="G4964" t="n">
        <v>6.4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9233-2023</t>
        </is>
      </c>
      <c r="B4965" s="1" t="n">
        <v>44980</v>
      </c>
      <c r="C4965" s="1" t="n">
        <v>45192</v>
      </c>
      <c r="D4965" t="inlineStr">
        <is>
          <t>ÖSTERGÖTLANDS LÄN</t>
        </is>
      </c>
      <c r="E4965" t="inlineStr">
        <is>
          <t>NORRKÖPING</t>
        </is>
      </c>
      <c r="F4965" t="inlineStr">
        <is>
          <t>Holmen skog AB</t>
        </is>
      </c>
      <c r="G4965" t="n">
        <v>0.5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9251-2023</t>
        </is>
      </c>
      <c r="B4966" s="1" t="n">
        <v>44980</v>
      </c>
      <c r="C4966" s="1" t="n">
        <v>45192</v>
      </c>
      <c r="D4966" t="inlineStr">
        <is>
          <t>ÖSTERGÖTLANDS LÄN</t>
        </is>
      </c>
      <c r="E4966" t="inlineStr">
        <is>
          <t>FINSPÅNG</t>
        </is>
      </c>
      <c r="F4966" t="inlineStr">
        <is>
          <t>Holmen skog AB</t>
        </is>
      </c>
      <c r="G4966" t="n">
        <v>2.1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9120-2023</t>
        </is>
      </c>
      <c r="B4967" s="1" t="n">
        <v>44980</v>
      </c>
      <c r="C4967" s="1" t="n">
        <v>45192</v>
      </c>
      <c r="D4967" t="inlineStr">
        <is>
          <t>ÖSTERGÖTLANDS LÄN</t>
        </is>
      </c>
      <c r="E4967" t="inlineStr">
        <is>
          <t>NORRKÖPING</t>
        </is>
      </c>
      <c r="G4967" t="n">
        <v>6.3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9201-2023</t>
        </is>
      </c>
      <c r="B4968" s="1" t="n">
        <v>44980</v>
      </c>
      <c r="C4968" s="1" t="n">
        <v>45192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0.5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9262-2023</t>
        </is>
      </c>
      <c r="B4969" s="1" t="n">
        <v>44980</v>
      </c>
      <c r="C4969" s="1" t="n">
        <v>45192</v>
      </c>
      <c r="D4969" t="inlineStr">
        <is>
          <t>ÖSTERGÖTLANDS LÄN</t>
        </is>
      </c>
      <c r="E4969" t="inlineStr">
        <is>
          <t>NORRKÖPING</t>
        </is>
      </c>
      <c r="F4969" t="inlineStr">
        <is>
          <t>Holmen skog AB</t>
        </is>
      </c>
      <c r="G4969" t="n">
        <v>6.4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10250-2023</t>
        </is>
      </c>
      <c r="B4970" s="1" t="n">
        <v>44980</v>
      </c>
      <c r="C4970" s="1" t="n">
        <v>45192</v>
      </c>
      <c r="D4970" t="inlineStr">
        <is>
          <t>ÖSTERGÖTLANDS LÄN</t>
        </is>
      </c>
      <c r="E4970" t="inlineStr">
        <is>
          <t>BOXHOLM</t>
        </is>
      </c>
      <c r="G4970" t="n">
        <v>0.8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10262-2023</t>
        </is>
      </c>
      <c r="B4971" s="1" t="n">
        <v>44980</v>
      </c>
      <c r="C4971" s="1" t="n">
        <v>45192</v>
      </c>
      <c r="D4971" t="inlineStr">
        <is>
          <t>ÖSTERGÖTLANDS LÄN</t>
        </is>
      </c>
      <c r="E4971" t="inlineStr">
        <is>
          <t>LINKÖPING</t>
        </is>
      </c>
      <c r="G4971" t="n">
        <v>1.7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9115-2023</t>
        </is>
      </c>
      <c r="B4972" s="1" t="n">
        <v>44980</v>
      </c>
      <c r="C4972" s="1" t="n">
        <v>45192</v>
      </c>
      <c r="D4972" t="inlineStr">
        <is>
          <t>ÖSTERGÖTLANDS LÄN</t>
        </is>
      </c>
      <c r="E4972" t="inlineStr">
        <is>
          <t>BOXHOLM</t>
        </is>
      </c>
      <c r="G4972" t="n">
        <v>2.7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9174-2023</t>
        </is>
      </c>
      <c r="B4973" s="1" t="n">
        <v>44980</v>
      </c>
      <c r="C4973" s="1" t="n">
        <v>45192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1.4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9412-2023</t>
        </is>
      </c>
      <c r="B4974" s="1" t="n">
        <v>44981</v>
      </c>
      <c r="C4974" s="1" t="n">
        <v>45192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0.5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9418-2023</t>
        </is>
      </c>
      <c r="B4975" s="1" t="n">
        <v>44981</v>
      </c>
      <c r="C4975" s="1" t="n">
        <v>45192</v>
      </c>
      <c r="D4975" t="inlineStr">
        <is>
          <t>ÖSTERGÖTLANDS LÄN</t>
        </is>
      </c>
      <c r="E4975" t="inlineStr">
        <is>
          <t>FINSPÅNG</t>
        </is>
      </c>
      <c r="F4975" t="inlineStr">
        <is>
          <t>Holmen skog AB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10443-2023</t>
        </is>
      </c>
      <c r="B4976" s="1" t="n">
        <v>44981</v>
      </c>
      <c r="C4976" s="1" t="n">
        <v>45192</v>
      </c>
      <c r="D4976" t="inlineStr">
        <is>
          <t>ÖSTERGÖTLANDS LÄN</t>
        </is>
      </c>
      <c r="E4976" t="inlineStr">
        <is>
          <t>MOTALA</t>
        </is>
      </c>
      <c r="G4976" t="n">
        <v>3.4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9378-2023</t>
        </is>
      </c>
      <c r="B4977" s="1" t="n">
        <v>44981</v>
      </c>
      <c r="C4977" s="1" t="n">
        <v>45192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9399-2023</t>
        </is>
      </c>
      <c r="B4978" s="1" t="n">
        <v>44981</v>
      </c>
      <c r="C4978" s="1" t="n">
        <v>45192</v>
      </c>
      <c r="D4978" t="inlineStr">
        <is>
          <t>ÖSTERGÖTLANDS LÄN</t>
        </is>
      </c>
      <c r="E4978" t="inlineStr">
        <is>
          <t>KINDA</t>
        </is>
      </c>
      <c r="G4978" t="n">
        <v>0.5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9512-2023</t>
        </is>
      </c>
      <c r="B4979" s="1" t="n">
        <v>44981</v>
      </c>
      <c r="C4979" s="1" t="n">
        <v>45192</v>
      </c>
      <c r="D4979" t="inlineStr">
        <is>
          <t>ÖSTERGÖTLANDS LÄN</t>
        </is>
      </c>
      <c r="E4979" t="inlineStr">
        <is>
          <t>NORRKÖPING</t>
        </is>
      </c>
      <c r="F4979" t="inlineStr">
        <is>
          <t>Holmen skog AB</t>
        </is>
      </c>
      <c r="G4979" t="n">
        <v>2.1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9509-2023</t>
        </is>
      </c>
      <c r="B4980" s="1" t="n">
        <v>44981</v>
      </c>
      <c r="C4980" s="1" t="n">
        <v>45192</v>
      </c>
      <c r="D4980" t="inlineStr">
        <is>
          <t>ÖSTERGÖTLANDS LÄN</t>
        </is>
      </c>
      <c r="E4980" t="inlineStr">
        <is>
          <t>KINDA</t>
        </is>
      </c>
      <c r="G4980" t="n">
        <v>1.9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10450-2023</t>
        </is>
      </c>
      <c r="B4981" s="1" t="n">
        <v>44981</v>
      </c>
      <c r="C4981" s="1" t="n">
        <v>45192</v>
      </c>
      <c r="D4981" t="inlineStr">
        <is>
          <t>ÖSTERGÖTLANDS LÄN</t>
        </is>
      </c>
      <c r="E4981" t="inlineStr">
        <is>
          <t>MJÖLBY</t>
        </is>
      </c>
      <c r="G4981" t="n">
        <v>8.199999999999999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9579-2023</t>
        </is>
      </c>
      <c r="B4982" s="1" t="n">
        <v>44982</v>
      </c>
      <c r="C4982" s="1" t="n">
        <v>45192</v>
      </c>
      <c r="D4982" t="inlineStr">
        <is>
          <t>ÖSTERGÖTLANDS LÄN</t>
        </is>
      </c>
      <c r="E4982" t="inlineStr">
        <is>
          <t>KINDA</t>
        </is>
      </c>
      <c r="G4982" t="n">
        <v>7.2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9594-2023</t>
        </is>
      </c>
      <c r="B4983" s="1" t="n">
        <v>44983</v>
      </c>
      <c r="C4983" s="1" t="n">
        <v>45192</v>
      </c>
      <c r="D4983" t="inlineStr">
        <is>
          <t>ÖSTERGÖTLANDS LÄN</t>
        </is>
      </c>
      <c r="E4983" t="inlineStr">
        <is>
          <t>NORRKÖPING</t>
        </is>
      </c>
      <c r="G4983" t="n">
        <v>4.5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9622-2023</t>
        </is>
      </c>
      <c r="B4984" s="1" t="n">
        <v>44984</v>
      </c>
      <c r="C4984" s="1" t="n">
        <v>45192</v>
      </c>
      <c r="D4984" t="inlineStr">
        <is>
          <t>ÖSTERGÖTLANDS LÄN</t>
        </is>
      </c>
      <c r="E4984" t="inlineStr">
        <is>
          <t>MOTALA</t>
        </is>
      </c>
      <c r="G4984" t="n">
        <v>2.7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9734-2023</t>
        </is>
      </c>
      <c r="B4985" s="1" t="n">
        <v>44984</v>
      </c>
      <c r="C4985" s="1" t="n">
        <v>45192</v>
      </c>
      <c r="D4985" t="inlineStr">
        <is>
          <t>ÖSTERGÖTLANDS LÄN</t>
        </is>
      </c>
      <c r="E4985" t="inlineStr">
        <is>
          <t>SÖDERKÖPING</t>
        </is>
      </c>
      <c r="F4985" t="inlineStr">
        <is>
          <t>Allmännings- och besparingsskogar</t>
        </is>
      </c>
      <c r="G4985" t="n">
        <v>6.7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9702-2023</t>
        </is>
      </c>
      <c r="B4986" s="1" t="n">
        <v>44984</v>
      </c>
      <c r="C4986" s="1" t="n">
        <v>45192</v>
      </c>
      <c r="D4986" t="inlineStr">
        <is>
          <t>ÖSTERGÖTLANDS LÄN</t>
        </is>
      </c>
      <c r="E4986" t="inlineStr">
        <is>
          <t>NORRKÖPING</t>
        </is>
      </c>
      <c r="F4986" t="inlineStr">
        <is>
          <t>Holmen skog AB</t>
        </is>
      </c>
      <c r="G4986" t="n">
        <v>0.7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9731-2023</t>
        </is>
      </c>
      <c r="B4987" s="1" t="n">
        <v>44984</v>
      </c>
      <c r="C4987" s="1" t="n">
        <v>45192</v>
      </c>
      <c r="D4987" t="inlineStr">
        <is>
          <t>ÖSTERGÖTLANDS LÄN</t>
        </is>
      </c>
      <c r="E4987" t="inlineStr">
        <is>
          <t>SÖDERKÖPING</t>
        </is>
      </c>
      <c r="G4987" t="n">
        <v>4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9729-2023</t>
        </is>
      </c>
      <c r="B4988" s="1" t="n">
        <v>44984</v>
      </c>
      <c r="C4988" s="1" t="n">
        <v>45192</v>
      </c>
      <c r="D4988" t="inlineStr">
        <is>
          <t>ÖSTERGÖTLANDS LÄN</t>
        </is>
      </c>
      <c r="E4988" t="inlineStr">
        <is>
          <t>SÖDERKÖPING</t>
        </is>
      </c>
      <c r="G4988" t="n">
        <v>13.8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9736-2023</t>
        </is>
      </c>
      <c r="B4989" s="1" t="n">
        <v>44984</v>
      </c>
      <c r="C4989" s="1" t="n">
        <v>45192</v>
      </c>
      <c r="D4989" t="inlineStr">
        <is>
          <t>ÖSTERGÖTLANDS LÄN</t>
        </is>
      </c>
      <c r="E4989" t="inlineStr">
        <is>
          <t>SÖDERKÖPING</t>
        </is>
      </c>
      <c r="F4989" t="inlineStr">
        <is>
          <t>Allmännings- och besparingsskogar</t>
        </is>
      </c>
      <c r="G4989" t="n">
        <v>7.4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9971-2023</t>
        </is>
      </c>
      <c r="B4990" s="1" t="n">
        <v>44985</v>
      </c>
      <c r="C4990" s="1" t="n">
        <v>45192</v>
      </c>
      <c r="D4990" t="inlineStr">
        <is>
          <t>ÖSTERGÖTLANDS LÄN</t>
        </is>
      </c>
      <c r="E4990" t="inlineStr">
        <is>
          <t>VALDEMARSVIK</t>
        </is>
      </c>
      <c r="G4990" t="n">
        <v>4.6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9989-2023</t>
        </is>
      </c>
      <c r="B4991" s="1" t="n">
        <v>44985</v>
      </c>
      <c r="C4991" s="1" t="n">
        <v>45192</v>
      </c>
      <c r="D4991" t="inlineStr">
        <is>
          <t>ÖSTERGÖTLANDS LÄN</t>
        </is>
      </c>
      <c r="E4991" t="inlineStr">
        <is>
          <t>FINSPÅNG</t>
        </is>
      </c>
      <c r="G4991" t="n">
        <v>3.1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9901-2023</t>
        </is>
      </c>
      <c r="B4992" s="1" t="n">
        <v>44985</v>
      </c>
      <c r="C4992" s="1" t="n">
        <v>45192</v>
      </c>
      <c r="D4992" t="inlineStr">
        <is>
          <t>ÖSTERGÖTLANDS LÄN</t>
        </is>
      </c>
      <c r="E4992" t="inlineStr">
        <is>
          <t>YDRE</t>
        </is>
      </c>
      <c r="F4992" t="inlineStr">
        <is>
          <t>Sveaskog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10021-2023</t>
        </is>
      </c>
      <c r="B4993" s="1" t="n">
        <v>44985</v>
      </c>
      <c r="C4993" s="1" t="n">
        <v>45192</v>
      </c>
      <c r="D4993" t="inlineStr">
        <is>
          <t>ÖSTERGÖTLANDS LÄN</t>
        </is>
      </c>
      <c r="E4993" t="inlineStr">
        <is>
          <t>KINDA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9907-2023</t>
        </is>
      </c>
      <c r="B4994" s="1" t="n">
        <v>44985</v>
      </c>
      <c r="C4994" s="1" t="n">
        <v>45192</v>
      </c>
      <c r="D4994" t="inlineStr">
        <is>
          <t>ÖSTERGÖTLANDS LÄN</t>
        </is>
      </c>
      <c r="E4994" t="inlineStr">
        <is>
          <t>FINSPÅNG</t>
        </is>
      </c>
      <c r="G4994" t="n">
        <v>1.8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9902-2023</t>
        </is>
      </c>
      <c r="B4995" s="1" t="n">
        <v>44985</v>
      </c>
      <c r="C4995" s="1" t="n">
        <v>45192</v>
      </c>
      <c r="D4995" t="inlineStr">
        <is>
          <t>ÖSTERGÖTLANDS LÄN</t>
        </is>
      </c>
      <c r="E4995" t="inlineStr">
        <is>
          <t>YDRE</t>
        </is>
      </c>
      <c r="F4995" t="inlineStr">
        <is>
          <t>Sveaskog</t>
        </is>
      </c>
      <c r="G4995" t="n">
        <v>0.9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10184-2023</t>
        </is>
      </c>
      <c r="B4996" s="1" t="n">
        <v>44986</v>
      </c>
      <c r="C4996" s="1" t="n">
        <v>45192</v>
      </c>
      <c r="D4996" t="inlineStr">
        <is>
          <t>ÖSTERGÖTLANDS LÄN</t>
        </is>
      </c>
      <c r="E4996" t="inlineStr">
        <is>
          <t>FINSPÅNG</t>
        </is>
      </c>
      <c r="G4996" t="n">
        <v>1.6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10241-2023</t>
        </is>
      </c>
      <c r="B4997" s="1" t="n">
        <v>44986</v>
      </c>
      <c r="C4997" s="1" t="n">
        <v>45192</v>
      </c>
      <c r="D4997" t="inlineStr">
        <is>
          <t>ÖSTERGÖTLANDS LÄN</t>
        </is>
      </c>
      <c r="E4997" t="inlineStr">
        <is>
          <t>YDRE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10412-2023</t>
        </is>
      </c>
      <c r="B4998" s="1" t="n">
        <v>44987</v>
      </c>
      <c r="C4998" s="1" t="n">
        <v>45192</v>
      </c>
      <c r="D4998" t="inlineStr">
        <is>
          <t>ÖSTERGÖTLANDS LÄN</t>
        </is>
      </c>
      <c r="E4998" t="inlineStr">
        <is>
          <t>FINSPÅNG</t>
        </is>
      </c>
      <c r="G4998" t="n">
        <v>1.7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10402-2023</t>
        </is>
      </c>
      <c r="B4999" s="1" t="n">
        <v>44987</v>
      </c>
      <c r="C4999" s="1" t="n">
        <v>45192</v>
      </c>
      <c r="D4999" t="inlineStr">
        <is>
          <t>ÖSTERGÖTLANDS LÄN</t>
        </is>
      </c>
      <c r="E4999" t="inlineStr">
        <is>
          <t>YDRE</t>
        </is>
      </c>
      <c r="G4999" t="n">
        <v>10.2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10459-2023</t>
        </is>
      </c>
      <c r="B5000" s="1" t="n">
        <v>44987</v>
      </c>
      <c r="C5000" s="1" t="n">
        <v>45192</v>
      </c>
      <c r="D5000" t="inlineStr">
        <is>
          <t>ÖSTERGÖTLANDS LÄN</t>
        </is>
      </c>
      <c r="E5000" t="inlineStr">
        <is>
          <t>LINKÖPING</t>
        </is>
      </c>
      <c r="G5000" t="n">
        <v>1.5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11163-2023</t>
        </is>
      </c>
      <c r="B5001" s="1" t="n">
        <v>44987</v>
      </c>
      <c r="C5001" s="1" t="n">
        <v>45192</v>
      </c>
      <c r="D5001" t="inlineStr">
        <is>
          <t>ÖSTERGÖTLANDS LÄN</t>
        </is>
      </c>
      <c r="E5001" t="inlineStr">
        <is>
          <t>YDRE</t>
        </is>
      </c>
      <c r="G5001" t="n">
        <v>3.2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10518-2023</t>
        </is>
      </c>
      <c r="B5002" s="1" t="n">
        <v>44987</v>
      </c>
      <c r="C5002" s="1" t="n">
        <v>45192</v>
      </c>
      <c r="D5002" t="inlineStr">
        <is>
          <t>ÖSTERGÖTLANDS LÄN</t>
        </is>
      </c>
      <c r="E5002" t="inlineStr">
        <is>
          <t>NORRKÖPING</t>
        </is>
      </c>
      <c r="G5002" t="n">
        <v>3.6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11350-2023</t>
        </is>
      </c>
      <c r="B5003" s="1" t="n">
        <v>44988</v>
      </c>
      <c r="C5003" s="1" t="n">
        <v>45192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6.8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11337-2023</t>
        </is>
      </c>
      <c r="B5004" s="1" t="n">
        <v>44988</v>
      </c>
      <c r="C5004" s="1" t="n">
        <v>45192</v>
      </c>
      <c r="D5004" t="inlineStr">
        <is>
          <t>ÖSTERGÖTLANDS LÄN</t>
        </is>
      </c>
      <c r="E5004" t="inlineStr">
        <is>
          <t>VALDEMARSVIK</t>
        </is>
      </c>
      <c r="F5004" t="inlineStr">
        <is>
          <t>Övriga Aktiebolag</t>
        </is>
      </c>
      <c r="G5004" t="n">
        <v>11.2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10721-2023</t>
        </is>
      </c>
      <c r="B5005" s="1" t="n">
        <v>44988</v>
      </c>
      <c r="C5005" s="1" t="n">
        <v>45192</v>
      </c>
      <c r="D5005" t="inlineStr">
        <is>
          <t>ÖSTERGÖTLANDS LÄN</t>
        </is>
      </c>
      <c r="E5005" t="inlineStr">
        <is>
          <t>NORRKÖPING</t>
        </is>
      </c>
      <c r="F5005" t="inlineStr">
        <is>
          <t>Holmen skog AB</t>
        </is>
      </c>
      <c r="G5005" t="n">
        <v>1.5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10739-2023</t>
        </is>
      </c>
      <c r="B5006" s="1" t="n">
        <v>44988</v>
      </c>
      <c r="C5006" s="1" t="n">
        <v>45192</v>
      </c>
      <c r="D5006" t="inlineStr">
        <is>
          <t>ÖSTERGÖTLANDS LÄN</t>
        </is>
      </c>
      <c r="E5006" t="inlineStr">
        <is>
          <t>ÅTVIDABERG</t>
        </is>
      </c>
      <c r="G5006" t="n">
        <v>2.8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11348-2023</t>
        </is>
      </c>
      <c r="B5007" s="1" t="n">
        <v>44988</v>
      </c>
      <c r="C5007" s="1" t="n">
        <v>45192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4.8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10621-2023</t>
        </is>
      </c>
      <c r="B5008" s="1" t="n">
        <v>44988</v>
      </c>
      <c r="C5008" s="1" t="n">
        <v>45192</v>
      </c>
      <c r="D5008" t="inlineStr">
        <is>
          <t>ÖSTERGÖTLANDS LÄN</t>
        </is>
      </c>
      <c r="E5008" t="inlineStr">
        <is>
          <t>KINDA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10704-2023</t>
        </is>
      </c>
      <c r="B5009" s="1" t="n">
        <v>44988</v>
      </c>
      <c r="C5009" s="1" t="n">
        <v>45192</v>
      </c>
      <c r="D5009" t="inlineStr">
        <is>
          <t>ÖSTERGÖTLANDS LÄN</t>
        </is>
      </c>
      <c r="E5009" t="inlineStr">
        <is>
          <t>NORRKÖPING</t>
        </is>
      </c>
      <c r="F5009" t="inlineStr">
        <is>
          <t>Holmen skog AB</t>
        </is>
      </c>
      <c r="G5009" t="n">
        <v>1.9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10799-2023</t>
        </is>
      </c>
      <c r="B5010" s="1" t="n">
        <v>44989</v>
      </c>
      <c r="C5010" s="1" t="n">
        <v>45192</v>
      </c>
      <c r="D5010" t="inlineStr">
        <is>
          <t>ÖSTERGÖTLANDS LÄN</t>
        </is>
      </c>
      <c r="E5010" t="inlineStr">
        <is>
          <t>ÅTVIDABERG</t>
        </is>
      </c>
      <c r="F5010" t="inlineStr">
        <is>
          <t>Övriga Aktiebolag</t>
        </is>
      </c>
      <c r="G5010" t="n">
        <v>8.199999999999999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11025-2023</t>
        </is>
      </c>
      <c r="B5011" s="1" t="n">
        <v>44991</v>
      </c>
      <c r="C5011" s="1" t="n">
        <v>45192</v>
      </c>
      <c r="D5011" t="inlineStr">
        <is>
          <t>ÖSTERGÖTLANDS LÄN</t>
        </is>
      </c>
      <c r="E5011" t="inlineStr">
        <is>
          <t>ÅTVIDABERG</t>
        </is>
      </c>
      <c r="G5011" t="n">
        <v>0.7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11587-2023</t>
        </is>
      </c>
      <c r="B5012" s="1" t="n">
        <v>44992</v>
      </c>
      <c r="C5012" s="1" t="n">
        <v>45192</v>
      </c>
      <c r="D5012" t="inlineStr">
        <is>
          <t>ÖSTERGÖTLANDS LÄN</t>
        </is>
      </c>
      <c r="E5012" t="inlineStr">
        <is>
          <t>NORRKÖPING</t>
        </is>
      </c>
      <c r="G5012" t="n">
        <v>2.6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11683-2023</t>
        </is>
      </c>
      <c r="B5013" s="1" t="n">
        <v>44992</v>
      </c>
      <c r="C5013" s="1" t="n">
        <v>45192</v>
      </c>
      <c r="D5013" t="inlineStr">
        <is>
          <t>ÖSTERGÖTLANDS LÄN</t>
        </is>
      </c>
      <c r="E5013" t="inlineStr">
        <is>
          <t>KINDA</t>
        </is>
      </c>
      <c r="G5013" t="n">
        <v>3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11261-2023</t>
        </is>
      </c>
      <c r="B5014" s="1" t="n">
        <v>44992</v>
      </c>
      <c r="C5014" s="1" t="n">
        <v>45192</v>
      </c>
      <c r="D5014" t="inlineStr">
        <is>
          <t>ÖSTERGÖTLANDS LÄN</t>
        </is>
      </c>
      <c r="E5014" t="inlineStr">
        <is>
          <t>NORRKÖPING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11593-2023</t>
        </is>
      </c>
      <c r="B5015" s="1" t="n">
        <v>44992</v>
      </c>
      <c r="C5015" s="1" t="n">
        <v>45192</v>
      </c>
      <c r="D5015" t="inlineStr">
        <is>
          <t>ÖSTERGÖTLANDS LÄN</t>
        </is>
      </c>
      <c r="E5015" t="inlineStr">
        <is>
          <t>NORRKÖPING</t>
        </is>
      </c>
      <c r="G5015" t="n">
        <v>0.7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11165-2023</t>
        </is>
      </c>
      <c r="B5016" s="1" t="n">
        <v>44992</v>
      </c>
      <c r="C5016" s="1" t="n">
        <v>45192</v>
      </c>
      <c r="D5016" t="inlineStr">
        <is>
          <t>ÖSTERGÖTLANDS LÄN</t>
        </is>
      </c>
      <c r="E5016" t="inlineStr">
        <is>
          <t>SÖDERKÖPING</t>
        </is>
      </c>
      <c r="G5016" t="n">
        <v>4.9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11192-2023</t>
        </is>
      </c>
      <c r="B5017" s="1" t="n">
        <v>44992</v>
      </c>
      <c r="C5017" s="1" t="n">
        <v>45192</v>
      </c>
      <c r="D5017" t="inlineStr">
        <is>
          <t>ÖSTERGÖTLANDS LÄN</t>
        </is>
      </c>
      <c r="E5017" t="inlineStr">
        <is>
          <t>ÖDESHÖG</t>
        </is>
      </c>
      <c r="G5017" t="n">
        <v>1.3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11202-2023</t>
        </is>
      </c>
      <c r="B5018" s="1" t="n">
        <v>44992</v>
      </c>
      <c r="C5018" s="1" t="n">
        <v>45192</v>
      </c>
      <c r="D5018" t="inlineStr">
        <is>
          <t>ÖSTERGÖTLANDS LÄN</t>
        </is>
      </c>
      <c r="E5018" t="inlineStr">
        <is>
          <t>ÖDESHÖG</t>
        </is>
      </c>
      <c r="G5018" t="n">
        <v>0.6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11677-2023</t>
        </is>
      </c>
      <c r="B5019" s="1" t="n">
        <v>44992</v>
      </c>
      <c r="C5019" s="1" t="n">
        <v>45192</v>
      </c>
      <c r="D5019" t="inlineStr">
        <is>
          <t>ÖSTERGÖTLANDS LÄN</t>
        </is>
      </c>
      <c r="E5019" t="inlineStr">
        <is>
          <t>KINDA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11193-2023</t>
        </is>
      </c>
      <c r="B5020" s="1" t="n">
        <v>44992</v>
      </c>
      <c r="C5020" s="1" t="n">
        <v>45192</v>
      </c>
      <c r="D5020" t="inlineStr">
        <is>
          <t>ÖSTERGÖTLANDS LÄN</t>
        </is>
      </c>
      <c r="E5020" t="inlineStr">
        <is>
          <t>ÖDESHÖG</t>
        </is>
      </c>
      <c r="G5020" t="n">
        <v>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11658-2023</t>
        </is>
      </c>
      <c r="B5021" s="1" t="n">
        <v>44992</v>
      </c>
      <c r="C5021" s="1" t="n">
        <v>45192</v>
      </c>
      <c r="D5021" t="inlineStr">
        <is>
          <t>ÖSTERGÖTLANDS LÄN</t>
        </is>
      </c>
      <c r="E5021" t="inlineStr">
        <is>
          <t>KINDA</t>
        </is>
      </c>
      <c r="G5021" t="n">
        <v>12.9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11668-2023</t>
        </is>
      </c>
      <c r="B5022" s="1" t="n">
        <v>44992</v>
      </c>
      <c r="C5022" s="1" t="n">
        <v>45192</v>
      </c>
      <c r="D5022" t="inlineStr">
        <is>
          <t>ÖSTERGÖTLANDS LÄN</t>
        </is>
      </c>
      <c r="E5022" t="inlineStr">
        <is>
          <t>KINDA</t>
        </is>
      </c>
      <c r="G5022" t="n">
        <v>5.4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11502-2023</t>
        </is>
      </c>
      <c r="B5023" s="1" t="n">
        <v>44993</v>
      </c>
      <c r="C5023" s="1" t="n">
        <v>45192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1.4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11514-2023</t>
        </is>
      </c>
      <c r="B5024" s="1" t="n">
        <v>44993</v>
      </c>
      <c r="C5024" s="1" t="n">
        <v>45192</v>
      </c>
      <c r="D5024" t="inlineStr">
        <is>
          <t>ÖSTERGÖTLANDS LÄN</t>
        </is>
      </c>
      <c r="E5024" t="inlineStr">
        <is>
          <t>FINSPÅNG</t>
        </is>
      </c>
      <c r="F5024" t="inlineStr">
        <is>
          <t>Holmen skog AB</t>
        </is>
      </c>
      <c r="G5024" t="n">
        <v>1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11361-2023</t>
        </is>
      </c>
      <c r="B5025" s="1" t="n">
        <v>44993</v>
      </c>
      <c r="C5025" s="1" t="n">
        <v>45192</v>
      </c>
      <c r="D5025" t="inlineStr">
        <is>
          <t>ÖSTERGÖTLANDS LÄN</t>
        </is>
      </c>
      <c r="E5025" t="inlineStr">
        <is>
          <t>LINKÖPING</t>
        </is>
      </c>
      <c r="G5025" t="n">
        <v>3.6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11490-2023</t>
        </is>
      </c>
      <c r="B5026" s="1" t="n">
        <v>44993</v>
      </c>
      <c r="C5026" s="1" t="n">
        <v>45192</v>
      </c>
      <c r="D5026" t="inlineStr">
        <is>
          <t>ÖSTERGÖTLANDS LÄN</t>
        </is>
      </c>
      <c r="E5026" t="inlineStr">
        <is>
          <t>NORRKÖPING</t>
        </is>
      </c>
      <c r="F5026" t="inlineStr">
        <is>
          <t>Holmen skog AB</t>
        </is>
      </c>
      <c r="G5026" t="n">
        <v>1.9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11329-2023</t>
        </is>
      </c>
      <c r="B5027" s="1" t="n">
        <v>44993</v>
      </c>
      <c r="C5027" s="1" t="n">
        <v>45192</v>
      </c>
      <c r="D5027" t="inlineStr">
        <is>
          <t>ÖSTERGÖTLANDS LÄN</t>
        </is>
      </c>
      <c r="E5027" t="inlineStr">
        <is>
          <t>KINDA</t>
        </is>
      </c>
      <c r="G5027" t="n">
        <v>3.6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11758-2023</t>
        </is>
      </c>
      <c r="B5028" s="1" t="n">
        <v>44994</v>
      </c>
      <c r="C5028" s="1" t="n">
        <v>45192</v>
      </c>
      <c r="D5028" t="inlineStr">
        <is>
          <t>ÖSTERGÖTLANDS LÄN</t>
        </is>
      </c>
      <c r="E5028" t="inlineStr">
        <is>
          <t>MOTALA</t>
        </is>
      </c>
      <c r="G5028" t="n">
        <v>1.6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11566-2023</t>
        </is>
      </c>
      <c r="B5029" s="1" t="n">
        <v>44994</v>
      </c>
      <c r="C5029" s="1" t="n">
        <v>45192</v>
      </c>
      <c r="D5029" t="inlineStr">
        <is>
          <t>ÖSTERGÖTLANDS LÄN</t>
        </is>
      </c>
      <c r="E5029" t="inlineStr">
        <is>
          <t>YDRE</t>
        </is>
      </c>
      <c r="G5029" t="n">
        <v>1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11576-2023</t>
        </is>
      </c>
      <c r="B5030" s="1" t="n">
        <v>44994</v>
      </c>
      <c r="C5030" s="1" t="n">
        <v>45192</v>
      </c>
      <c r="D5030" t="inlineStr">
        <is>
          <t>ÖSTERGÖTLANDS LÄN</t>
        </is>
      </c>
      <c r="E5030" t="inlineStr">
        <is>
          <t>ÅTVIDABERG</t>
        </is>
      </c>
      <c r="G5030" t="n">
        <v>0.5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11972-2023</t>
        </is>
      </c>
      <c r="B5031" s="1" t="n">
        <v>44994</v>
      </c>
      <c r="C5031" s="1" t="n">
        <v>45192</v>
      </c>
      <c r="D5031" t="inlineStr">
        <is>
          <t>ÖSTERGÖTLANDS LÄN</t>
        </is>
      </c>
      <c r="E5031" t="inlineStr">
        <is>
          <t>ÖDESHÖG</t>
        </is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11567-2023</t>
        </is>
      </c>
      <c r="B5032" s="1" t="n">
        <v>44994</v>
      </c>
      <c r="C5032" s="1" t="n">
        <v>45192</v>
      </c>
      <c r="D5032" t="inlineStr">
        <is>
          <t>ÖSTERGÖTLANDS LÄN</t>
        </is>
      </c>
      <c r="E5032" t="inlineStr">
        <is>
          <t>YDRE</t>
        </is>
      </c>
      <c r="G5032" t="n">
        <v>1.1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11601-2023</t>
        </is>
      </c>
      <c r="B5033" s="1" t="n">
        <v>44994</v>
      </c>
      <c r="C5033" s="1" t="n">
        <v>45192</v>
      </c>
      <c r="D5033" t="inlineStr">
        <is>
          <t>ÖSTERGÖTLANDS LÄN</t>
        </is>
      </c>
      <c r="E5033" t="inlineStr">
        <is>
          <t>LINKÖPING</t>
        </is>
      </c>
      <c r="G5033" t="n">
        <v>1.7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11766-2023</t>
        </is>
      </c>
      <c r="B5034" s="1" t="n">
        <v>44994</v>
      </c>
      <c r="C5034" s="1" t="n">
        <v>45192</v>
      </c>
      <c r="D5034" t="inlineStr">
        <is>
          <t>ÖSTERGÖTLANDS LÄN</t>
        </is>
      </c>
      <c r="E5034" t="inlineStr">
        <is>
          <t>ÅTVIDABERG</t>
        </is>
      </c>
      <c r="F5034" t="inlineStr">
        <is>
          <t>Övriga Aktiebolag</t>
        </is>
      </c>
      <c r="G5034" t="n">
        <v>5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11967-2023</t>
        </is>
      </c>
      <c r="B5035" s="1" t="n">
        <v>44994</v>
      </c>
      <c r="C5035" s="1" t="n">
        <v>45192</v>
      </c>
      <c r="D5035" t="inlineStr">
        <is>
          <t>ÖSTERGÖTLANDS LÄN</t>
        </is>
      </c>
      <c r="E5035" t="inlineStr">
        <is>
          <t>ÖDESHÖG</t>
        </is>
      </c>
      <c r="G5035" t="n">
        <v>1.4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11950-2023</t>
        </is>
      </c>
      <c r="B5036" s="1" t="n">
        <v>44995</v>
      </c>
      <c r="C5036" s="1" t="n">
        <v>45192</v>
      </c>
      <c r="D5036" t="inlineStr">
        <is>
          <t>ÖSTERGÖTLANDS LÄN</t>
        </is>
      </c>
      <c r="E5036" t="inlineStr">
        <is>
          <t>FINSPÅNG</t>
        </is>
      </c>
      <c r="F5036" t="inlineStr">
        <is>
          <t>Holmen skog AB</t>
        </is>
      </c>
      <c r="G5036" t="n">
        <v>0.4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11882-2023</t>
        </is>
      </c>
      <c r="B5037" s="1" t="n">
        <v>44995</v>
      </c>
      <c r="C5037" s="1" t="n">
        <v>45192</v>
      </c>
      <c r="D5037" t="inlineStr">
        <is>
          <t>ÖSTERGÖTLANDS LÄN</t>
        </is>
      </c>
      <c r="E5037" t="inlineStr">
        <is>
          <t>ÅTVIDABERG</t>
        </is>
      </c>
      <c r="F5037" t="inlineStr">
        <is>
          <t>Övriga Aktiebolag</t>
        </is>
      </c>
      <c r="G5037" t="n">
        <v>2.4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11974-2023</t>
        </is>
      </c>
      <c r="B5038" s="1" t="n">
        <v>44995</v>
      </c>
      <c r="C5038" s="1" t="n">
        <v>45192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0.3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12249-2023</t>
        </is>
      </c>
      <c r="B5039" s="1" t="n">
        <v>44998</v>
      </c>
      <c r="C5039" s="1" t="n">
        <v>45192</v>
      </c>
      <c r="D5039" t="inlineStr">
        <is>
          <t>ÖSTERGÖTLANDS LÄN</t>
        </is>
      </c>
      <c r="E5039" t="inlineStr">
        <is>
          <t>FINSPÅNG</t>
        </is>
      </c>
      <c r="F5039" t="inlineStr">
        <is>
          <t>Holmen skog AB</t>
        </is>
      </c>
      <c r="G5039" t="n">
        <v>2.4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12189-2023</t>
        </is>
      </c>
      <c r="B5040" s="1" t="n">
        <v>44998</v>
      </c>
      <c r="C5040" s="1" t="n">
        <v>45192</v>
      </c>
      <c r="D5040" t="inlineStr">
        <is>
          <t>ÖSTERGÖTLANDS LÄN</t>
        </is>
      </c>
      <c r="E5040" t="inlineStr">
        <is>
          <t>NORRKÖPING</t>
        </is>
      </c>
      <c r="G5040" t="n">
        <v>5.2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12269-2023</t>
        </is>
      </c>
      <c r="B5041" s="1" t="n">
        <v>44998</v>
      </c>
      <c r="C5041" s="1" t="n">
        <v>45192</v>
      </c>
      <c r="D5041" t="inlineStr">
        <is>
          <t>ÖSTERGÖTLANDS LÄN</t>
        </is>
      </c>
      <c r="E5041" t="inlineStr">
        <is>
          <t>KINDA</t>
        </is>
      </c>
      <c r="G5041" t="n">
        <v>0.3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12091-2023</t>
        </is>
      </c>
      <c r="B5042" s="1" t="n">
        <v>44998</v>
      </c>
      <c r="C5042" s="1" t="n">
        <v>45192</v>
      </c>
      <c r="D5042" t="inlineStr">
        <is>
          <t>ÖSTERGÖTLANDS LÄN</t>
        </is>
      </c>
      <c r="E5042" t="inlineStr">
        <is>
          <t>MOTALA</t>
        </is>
      </c>
      <c r="F5042" t="inlineStr">
        <is>
          <t>Sveaskog</t>
        </is>
      </c>
      <c r="G5042" t="n">
        <v>5.7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12191-2023</t>
        </is>
      </c>
      <c r="B5043" s="1" t="n">
        <v>44998</v>
      </c>
      <c r="C5043" s="1" t="n">
        <v>45192</v>
      </c>
      <c r="D5043" t="inlineStr">
        <is>
          <t>ÖSTERGÖTLANDS LÄN</t>
        </is>
      </c>
      <c r="E5043" t="inlineStr">
        <is>
          <t>NORRKÖPING</t>
        </is>
      </c>
      <c r="G5043" t="n">
        <v>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12431-2023</t>
        </is>
      </c>
      <c r="B5044" s="1" t="n">
        <v>44999</v>
      </c>
      <c r="C5044" s="1" t="n">
        <v>45192</v>
      </c>
      <c r="D5044" t="inlineStr">
        <is>
          <t>ÖSTERGÖTLANDS LÄN</t>
        </is>
      </c>
      <c r="E5044" t="inlineStr">
        <is>
          <t>VALDEMARSVIK</t>
        </is>
      </c>
      <c r="G5044" t="n">
        <v>0.8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12479-2023</t>
        </is>
      </c>
      <c r="B5045" s="1" t="n">
        <v>44999</v>
      </c>
      <c r="C5045" s="1" t="n">
        <v>45192</v>
      </c>
      <c r="D5045" t="inlineStr">
        <is>
          <t>ÖSTERGÖTLANDS LÄN</t>
        </is>
      </c>
      <c r="E5045" t="inlineStr">
        <is>
          <t>LINKÖPING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12434-2023</t>
        </is>
      </c>
      <c r="B5046" s="1" t="n">
        <v>44999</v>
      </c>
      <c r="C5046" s="1" t="n">
        <v>45192</v>
      </c>
      <c r="D5046" t="inlineStr">
        <is>
          <t>ÖSTERGÖTLANDS LÄN</t>
        </is>
      </c>
      <c r="E5046" t="inlineStr">
        <is>
          <t>MOTALA</t>
        </is>
      </c>
      <c r="F5046" t="inlineStr">
        <is>
          <t>Allmännings- och besparingsskogar</t>
        </is>
      </c>
      <c r="G5046" t="n">
        <v>1.2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12511-2023</t>
        </is>
      </c>
      <c r="B5047" s="1" t="n">
        <v>44999</v>
      </c>
      <c r="C5047" s="1" t="n">
        <v>45192</v>
      </c>
      <c r="D5047" t="inlineStr">
        <is>
          <t>ÖSTERGÖTLANDS LÄN</t>
        </is>
      </c>
      <c r="E5047" t="inlineStr">
        <is>
          <t>NORRKÖPING</t>
        </is>
      </c>
      <c r="F5047" t="inlineStr">
        <is>
          <t>Allmännings- och besparingsskogar</t>
        </is>
      </c>
      <c r="G5047" t="n">
        <v>1.1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12822-2023</t>
        </is>
      </c>
      <c r="B5048" s="1" t="n">
        <v>45000</v>
      </c>
      <c r="C5048" s="1" t="n">
        <v>45192</v>
      </c>
      <c r="D5048" t="inlineStr">
        <is>
          <t>ÖSTERGÖTLANDS LÄN</t>
        </is>
      </c>
      <c r="E5048" t="inlineStr">
        <is>
          <t>KINDA</t>
        </is>
      </c>
      <c r="G5048" t="n">
        <v>3.7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12702-2023</t>
        </is>
      </c>
      <c r="B5049" s="1" t="n">
        <v>45000</v>
      </c>
      <c r="C5049" s="1" t="n">
        <v>45192</v>
      </c>
      <c r="D5049" t="inlineStr">
        <is>
          <t>ÖSTERGÖTLANDS LÄN</t>
        </is>
      </c>
      <c r="E5049" t="inlineStr">
        <is>
          <t>ÖDESHÖG</t>
        </is>
      </c>
      <c r="G5049" t="n">
        <v>4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12804-2023</t>
        </is>
      </c>
      <c r="B5050" s="1" t="n">
        <v>45000</v>
      </c>
      <c r="C5050" s="1" t="n">
        <v>45192</v>
      </c>
      <c r="D5050" t="inlineStr">
        <is>
          <t>ÖSTERGÖTLANDS LÄN</t>
        </is>
      </c>
      <c r="E5050" t="inlineStr">
        <is>
          <t>KINDA</t>
        </is>
      </c>
      <c r="G5050" t="n">
        <v>1.5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12817-2023</t>
        </is>
      </c>
      <c r="B5051" s="1" t="n">
        <v>45000</v>
      </c>
      <c r="C5051" s="1" t="n">
        <v>45192</v>
      </c>
      <c r="D5051" t="inlineStr">
        <is>
          <t>ÖSTERGÖTLANDS LÄN</t>
        </is>
      </c>
      <c r="E5051" t="inlineStr">
        <is>
          <t>KINDA</t>
        </is>
      </c>
      <c r="G5051" t="n">
        <v>1.1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12829-2023</t>
        </is>
      </c>
      <c r="B5052" s="1" t="n">
        <v>45000</v>
      </c>
      <c r="C5052" s="1" t="n">
        <v>45192</v>
      </c>
      <c r="D5052" t="inlineStr">
        <is>
          <t>ÖSTERGÖTLANDS LÄN</t>
        </is>
      </c>
      <c r="E5052" t="inlineStr">
        <is>
          <t>KINDA</t>
        </is>
      </c>
      <c r="G5052" t="n">
        <v>3.7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12845-2023</t>
        </is>
      </c>
      <c r="B5053" s="1" t="n">
        <v>45000</v>
      </c>
      <c r="C5053" s="1" t="n">
        <v>45192</v>
      </c>
      <c r="D5053" t="inlineStr">
        <is>
          <t>ÖSTERGÖTLANDS LÄN</t>
        </is>
      </c>
      <c r="E5053" t="inlineStr">
        <is>
          <t>KINDA</t>
        </is>
      </c>
      <c r="G5053" t="n">
        <v>7.6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12672-2023</t>
        </is>
      </c>
      <c r="B5054" s="1" t="n">
        <v>45000</v>
      </c>
      <c r="C5054" s="1" t="n">
        <v>45192</v>
      </c>
      <c r="D5054" t="inlineStr">
        <is>
          <t>ÖSTERGÖTLANDS LÄN</t>
        </is>
      </c>
      <c r="E5054" t="inlineStr">
        <is>
          <t>NORRKÖPING</t>
        </is>
      </c>
      <c r="G5054" t="n">
        <v>0.9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12811-2023</t>
        </is>
      </c>
      <c r="B5055" s="1" t="n">
        <v>45000</v>
      </c>
      <c r="C5055" s="1" t="n">
        <v>45192</v>
      </c>
      <c r="D5055" t="inlineStr">
        <is>
          <t>ÖSTERGÖTLANDS LÄN</t>
        </is>
      </c>
      <c r="E5055" t="inlineStr">
        <is>
          <t>KINDA</t>
        </is>
      </c>
      <c r="G5055" t="n">
        <v>2.8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12896-2023</t>
        </is>
      </c>
      <c r="B5056" s="1" t="n">
        <v>45000</v>
      </c>
      <c r="C5056" s="1" t="n">
        <v>45192</v>
      </c>
      <c r="D5056" t="inlineStr">
        <is>
          <t>ÖSTERGÖTLANDS LÄN</t>
        </is>
      </c>
      <c r="E5056" t="inlineStr">
        <is>
          <t>KINDA</t>
        </is>
      </c>
      <c r="G5056" t="n">
        <v>4.1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12904-2023</t>
        </is>
      </c>
      <c r="B5057" s="1" t="n">
        <v>45000</v>
      </c>
      <c r="C5057" s="1" t="n">
        <v>45192</v>
      </c>
      <c r="D5057" t="inlineStr">
        <is>
          <t>ÖSTERGÖTLANDS LÄN</t>
        </is>
      </c>
      <c r="E5057" t="inlineStr">
        <is>
          <t>KINDA</t>
        </is>
      </c>
      <c r="G5057" t="n">
        <v>2.9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12905-2023</t>
        </is>
      </c>
      <c r="B5058" s="1" t="n">
        <v>45001</v>
      </c>
      <c r="C5058" s="1" t="n">
        <v>45192</v>
      </c>
      <c r="D5058" t="inlineStr">
        <is>
          <t>ÖSTERGÖTLANDS LÄN</t>
        </is>
      </c>
      <c r="E5058" t="inlineStr">
        <is>
          <t>MOTALA</t>
        </is>
      </c>
      <c r="G5058" t="n">
        <v>3.7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12914-2023</t>
        </is>
      </c>
      <c r="B5059" s="1" t="n">
        <v>45001</v>
      </c>
      <c r="C5059" s="1" t="n">
        <v>45192</v>
      </c>
      <c r="D5059" t="inlineStr">
        <is>
          <t>ÖSTERGÖTLANDS LÄN</t>
        </is>
      </c>
      <c r="E5059" t="inlineStr">
        <is>
          <t>MOTALA</t>
        </is>
      </c>
      <c r="G5059" t="n">
        <v>0.6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12916-2023</t>
        </is>
      </c>
      <c r="B5060" s="1" t="n">
        <v>45001</v>
      </c>
      <c r="C5060" s="1" t="n">
        <v>45192</v>
      </c>
      <c r="D5060" t="inlineStr">
        <is>
          <t>ÖSTERGÖTLANDS LÄN</t>
        </is>
      </c>
      <c r="E5060" t="inlineStr">
        <is>
          <t>MOTALA</t>
        </is>
      </c>
      <c r="G5060" t="n">
        <v>0.4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13084-2023</t>
        </is>
      </c>
      <c r="B5061" s="1" t="n">
        <v>45002</v>
      </c>
      <c r="C5061" s="1" t="n">
        <v>45192</v>
      </c>
      <c r="D5061" t="inlineStr">
        <is>
          <t>ÖSTERGÖTLANDS LÄN</t>
        </is>
      </c>
      <c r="E5061" t="inlineStr">
        <is>
          <t>FINSPÅNG</t>
        </is>
      </c>
      <c r="F5061" t="inlineStr">
        <is>
          <t>Holmen skog AB</t>
        </is>
      </c>
      <c r="G5061" t="n">
        <v>1.6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13221-2023</t>
        </is>
      </c>
      <c r="B5062" s="1" t="n">
        <v>45002</v>
      </c>
      <c r="C5062" s="1" t="n">
        <v>45192</v>
      </c>
      <c r="D5062" t="inlineStr">
        <is>
          <t>ÖSTERGÖTLANDS LÄN</t>
        </is>
      </c>
      <c r="E5062" t="inlineStr">
        <is>
          <t>VALDEMARSVIK</t>
        </is>
      </c>
      <c r="G5062" t="n">
        <v>1.8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13219-2023</t>
        </is>
      </c>
      <c r="B5063" s="1" t="n">
        <v>45002</v>
      </c>
      <c r="C5063" s="1" t="n">
        <v>45192</v>
      </c>
      <c r="D5063" t="inlineStr">
        <is>
          <t>ÖSTERGÖTLANDS LÄN</t>
        </is>
      </c>
      <c r="E5063" t="inlineStr">
        <is>
          <t>VALDEMARSVIK</t>
        </is>
      </c>
      <c r="G5063" t="n">
        <v>1.5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13234-2023</t>
        </is>
      </c>
      <c r="B5064" s="1" t="n">
        <v>45002</v>
      </c>
      <c r="C5064" s="1" t="n">
        <v>45192</v>
      </c>
      <c r="D5064" t="inlineStr">
        <is>
          <t>ÖSTERGÖTLANDS LÄN</t>
        </is>
      </c>
      <c r="E5064" t="inlineStr">
        <is>
          <t>FINSPÅNG</t>
        </is>
      </c>
      <c r="G5064" t="n">
        <v>1.8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13268-2023</t>
        </is>
      </c>
      <c r="B5065" s="1" t="n">
        <v>45003</v>
      </c>
      <c r="C5065" s="1" t="n">
        <v>45192</v>
      </c>
      <c r="D5065" t="inlineStr">
        <is>
          <t>ÖSTERGÖTLANDS LÄN</t>
        </is>
      </c>
      <c r="E5065" t="inlineStr">
        <is>
          <t>LINKÖPING</t>
        </is>
      </c>
      <c r="G5065" t="n">
        <v>0.7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13406-2023</t>
        </is>
      </c>
      <c r="B5066" s="1" t="n">
        <v>45005</v>
      </c>
      <c r="C5066" s="1" t="n">
        <v>45192</v>
      </c>
      <c r="D5066" t="inlineStr">
        <is>
          <t>ÖSTERGÖTLANDS LÄN</t>
        </is>
      </c>
      <c r="E5066" t="inlineStr">
        <is>
          <t>LINKÖPING</t>
        </is>
      </c>
      <c r="G5066" t="n">
        <v>4.6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13439-2023</t>
        </is>
      </c>
      <c r="B5067" s="1" t="n">
        <v>45005</v>
      </c>
      <c r="C5067" s="1" t="n">
        <v>45192</v>
      </c>
      <c r="D5067" t="inlineStr">
        <is>
          <t>ÖSTERGÖTLANDS LÄN</t>
        </is>
      </c>
      <c r="E5067" t="inlineStr">
        <is>
          <t>KINDA</t>
        </is>
      </c>
      <c r="G5067" t="n">
        <v>2.1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13424-2023</t>
        </is>
      </c>
      <c r="B5068" s="1" t="n">
        <v>45005</v>
      </c>
      <c r="C5068" s="1" t="n">
        <v>45192</v>
      </c>
      <c r="D5068" t="inlineStr">
        <is>
          <t>ÖSTERGÖTLANDS LÄN</t>
        </is>
      </c>
      <c r="E5068" t="inlineStr">
        <is>
          <t>KINDA</t>
        </is>
      </c>
      <c r="G5068" t="n">
        <v>1.3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13443-2023</t>
        </is>
      </c>
      <c r="B5069" s="1" t="n">
        <v>45005</v>
      </c>
      <c r="C5069" s="1" t="n">
        <v>45192</v>
      </c>
      <c r="D5069" t="inlineStr">
        <is>
          <t>ÖSTERGÖTLANDS LÄN</t>
        </is>
      </c>
      <c r="E5069" t="inlineStr">
        <is>
          <t>NORRKÖPING</t>
        </is>
      </c>
      <c r="G5069" t="n">
        <v>0.7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13519-2023</t>
        </is>
      </c>
      <c r="B5070" s="1" t="n">
        <v>45006</v>
      </c>
      <c r="C5070" s="1" t="n">
        <v>45192</v>
      </c>
      <c r="D5070" t="inlineStr">
        <is>
          <t>ÖSTERGÖTLANDS LÄN</t>
        </is>
      </c>
      <c r="E5070" t="inlineStr">
        <is>
          <t>SÖDERKÖPING</t>
        </is>
      </c>
      <c r="G5070" t="n">
        <v>7.2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13579-2023</t>
        </is>
      </c>
      <c r="B5071" s="1" t="n">
        <v>45006</v>
      </c>
      <c r="C5071" s="1" t="n">
        <v>45192</v>
      </c>
      <c r="D5071" t="inlineStr">
        <is>
          <t>ÖSTERGÖTLANDS LÄN</t>
        </is>
      </c>
      <c r="E5071" t="inlineStr">
        <is>
          <t>NORRKÖPING</t>
        </is>
      </c>
      <c r="F5071" t="inlineStr">
        <is>
          <t>Holmen skog AB</t>
        </is>
      </c>
      <c r="G5071" t="n">
        <v>0.5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13776-2023</t>
        </is>
      </c>
      <c r="B5072" s="1" t="n">
        <v>45007</v>
      </c>
      <c r="C5072" s="1" t="n">
        <v>45192</v>
      </c>
      <c r="D5072" t="inlineStr">
        <is>
          <t>ÖSTERGÖTLANDS LÄN</t>
        </is>
      </c>
      <c r="E5072" t="inlineStr">
        <is>
          <t>KINDA</t>
        </is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13782-2023</t>
        </is>
      </c>
      <c r="B5073" s="1" t="n">
        <v>45007</v>
      </c>
      <c r="C5073" s="1" t="n">
        <v>45192</v>
      </c>
      <c r="D5073" t="inlineStr">
        <is>
          <t>ÖSTERGÖTLANDS LÄN</t>
        </is>
      </c>
      <c r="E5073" t="inlineStr">
        <is>
          <t>KINDA</t>
        </is>
      </c>
      <c r="G5073" t="n">
        <v>0.5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13944-2023</t>
        </is>
      </c>
      <c r="B5074" s="1" t="n">
        <v>45008</v>
      </c>
      <c r="C5074" s="1" t="n">
        <v>45192</v>
      </c>
      <c r="D5074" t="inlineStr">
        <is>
          <t>ÖSTERGÖTLANDS LÄN</t>
        </is>
      </c>
      <c r="E5074" t="inlineStr">
        <is>
          <t>NORRKÖPING</t>
        </is>
      </c>
      <c r="F5074" t="inlineStr">
        <is>
          <t>Holmen skog AB</t>
        </is>
      </c>
      <c r="G5074" t="n">
        <v>5.5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14061-2023</t>
        </is>
      </c>
      <c r="B5075" s="1" t="n">
        <v>45008</v>
      </c>
      <c r="C5075" s="1" t="n">
        <v>45192</v>
      </c>
      <c r="D5075" t="inlineStr">
        <is>
          <t>ÖSTERGÖTLANDS LÄN</t>
        </is>
      </c>
      <c r="E5075" t="inlineStr">
        <is>
          <t>FINSPÅNG</t>
        </is>
      </c>
      <c r="G5075" t="n">
        <v>0.4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14151-2023</t>
        </is>
      </c>
      <c r="B5076" s="1" t="n">
        <v>45008</v>
      </c>
      <c r="C5076" s="1" t="n">
        <v>45192</v>
      </c>
      <c r="D5076" t="inlineStr">
        <is>
          <t>ÖSTERGÖTLANDS LÄN</t>
        </is>
      </c>
      <c r="E5076" t="inlineStr">
        <is>
          <t>BOXHOLM</t>
        </is>
      </c>
      <c r="G5076" t="n">
        <v>1.5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13918-2023</t>
        </is>
      </c>
      <c r="B5077" s="1" t="n">
        <v>45008</v>
      </c>
      <c r="C5077" s="1" t="n">
        <v>45192</v>
      </c>
      <c r="D5077" t="inlineStr">
        <is>
          <t>ÖSTERGÖTLANDS LÄN</t>
        </is>
      </c>
      <c r="E5077" t="inlineStr">
        <is>
          <t>NORRKÖPING</t>
        </is>
      </c>
      <c r="G5077" t="n">
        <v>2.8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13966-2023</t>
        </is>
      </c>
      <c r="B5078" s="1" t="n">
        <v>45008</v>
      </c>
      <c r="C5078" s="1" t="n">
        <v>45192</v>
      </c>
      <c r="D5078" t="inlineStr">
        <is>
          <t>ÖSTERGÖTLANDS LÄN</t>
        </is>
      </c>
      <c r="E5078" t="inlineStr">
        <is>
          <t>KINDA</t>
        </is>
      </c>
      <c r="G5078" t="n">
        <v>0.7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13968-2023</t>
        </is>
      </c>
      <c r="B5079" s="1" t="n">
        <v>45008</v>
      </c>
      <c r="C5079" s="1" t="n">
        <v>45192</v>
      </c>
      <c r="D5079" t="inlineStr">
        <is>
          <t>ÖSTERGÖTLANDS LÄN</t>
        </is>
      </c>
      <c r="E5079" t="inlineStr">
        <is>
          <t>KINDA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14184-2023</t>
        </is>
      </c>
      <c r="B5080" s="1" t="n">
        <v>45009</v>
      </c>
      <c r="C5080" s="1" t="n">
        <v>45192</v>
      </c>
      <c r="D5080" t="inlineStr">
        <is>
          <t>ÖSTERGÖTLANDS LÄN</t>
        </is>
      </c>
      <c r="E5080" t="inlineStr">
        <is>
          <t>SÖDERKÖPING</t>
        </is>
      </c>
      <c r="G5080" t="n">
        <v>2.6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14193-2023</t>
        </is>
      </c>
      <c r="B5081" s="1" t="n">
        <v>45009</v>
      </c>
      <c r="C5081" s="1" t="n">
        <v>45192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14237-2023</t>
        </is>
      </c>
      <c r="B5082" s="1" t="n">
        <v>45009</v>
      </c>
      <c r="C5082" s="1" t="n">
        <v>45192</v>
      </c>
      <c r="D5082" t="inlineStr">
        <is>
          <t>ÖSTERGÖTLANDS LÄN</t>
        </is>
      </c>
      <c r="E5082" t="inlineStr">
        <is>
          <t>FINSPÅNG</t>
        </is>
      </c>
      <c r="F5082" t="inlineStr">
        <is>
          <t>Holmen skog AB</t>
        </is>
      </c>
      <c r="G5082" t="n">
        <v>1.3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14082-2023</t>
        </is>
      </c>
      <c r="B5083" s="1" t="n">
        <v>45009</v>
      </c>
      <c r="C5083" s="1" t="n">
        <v>45192</v>
      </c>
      <c r="D5083" t="inlineStr">
        <is>
          <t>ÖSTERGÖTLANDS LÄN</t>
        </is>
      </c>
      <c r="E5083" t="inlineStr">
        <is>
          <t>VALDEMARSVIK</t>
        </is>
      </c>
      <c r="G5083" t="n">
        <v>0.6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14175-2023</t>
        </is>
      </c>
      <c r="B5084" s="1" t="n">
        <v>45009</v>
      </c>
      <c r="C5084" s="1" t="n">
        <v>45192</v>
      </c>
      <c r="D5084" t="inlineStr">
        <is>
          <t>ÖSTERGÖTLANDS LÄN</t>
        </is>
      </c>
      <c r="E5084" t="inlineStr">
        <is>
          <t>KINDA</t>
        </is>
      </c>
      <c r="G5084" t="n">
        <v>1.9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14182-2023</t>
        </is>
      </c>
      <c r="B5085" s="1" t="n">
        <v>45009</v>
      </c>
      <c r="C5085" s="1" t="n">
        <v>45192</v>
      </c>
      <c r="D5085" t="inlineStr">
        <is>
          <t>ÖSTERGÖTLANDS LÄN</t>
        </is>
      </c>
      <c r="E5085" t="inlineStr">
        <is>
          <t>NORRKÖPING</t>
        </is>
      </c>
      <c r="F5085" t="inlineStr">
        <is>
          <t>Holmen skog AB</t>
        </is>
      </c>
      <c r="G5085" t="n">
        <v>1.1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14199-2023</t>
        </is>
      </c>
      <c r="B5086" s="1" t="n">
        <v>45009</v>
      </c>
      <c r="C5086" s="1" t="n">
        <v>45192</v>
      </c>
      <c r="D5086" t="inlineStr">
        <is>
          <t>ÖSTERGÖTLANDS LÄN</t>
        </is>
      </c>
      <c r="E5086" t="inlineStr">
        <is>
          <t>FINSPÅNG</t>
        </is>
      </c>
      <c r="F5086" t="inlineStr">
        <is>
          <t>Holmen skog AB</t>
        </is>
      </c>
      <c r="G5086" t="n">
        <v>1.3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14210-2023</t>
        </is>
      </c>
      <c r="B5087" s="1" t="n">
        <v>45009</v>
      </c>
      <c r="C5087" s="1" t="n">
        <v>45192</v>
      </c>
      <c r="D5087" t="inlineStr">
        <is>
          <t>ÖSTERGÖTLANDS LÄN</t>
        </is>
      </c>
      <c r="E5087" t="inlineStr">
        <is>
          <t>MJÖLBY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14173-2023</t>
        </is>
      </c>
      <c r="B5088" s="1" t="n">
        <v>45009</v>
      </c>
      <c r="C5088" s="1" t="n">
        <v>45192</v>
      </c>
      <c r="D5088" t="inlineStr">
        <is>
          <t>ÖSTERGÖTLANDS LÄN</t>
        </is>
      </c>
      <c r="E5088" t="inlineStr">
        <is>
          <t>KINDA</t>
        </is>
      </c>
      <c r="G5088" t="n">
        <v>4.5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14215-2023</t>
        </is>
      </c>
      <c r="B5089" s="1" t="n">
        <v>45009</v>
      </c>
      <c r="C5089" s="1" t="n">
        <v>45192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2.1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14241-2023</t>
        </is>
      </c>
      <c r="B5090" s="1" t="n">
        <v>45009</v>
      </c>
      <c r="C5090" s="1" t="n">
        <v>45192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0.8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14279-2023</t>
        </is>
      </c>
      <c r="B5091" s="1" t="n">
        <v>45010</v>
      </c>
      <c r="C5091" s="1" t="n">
        <v>45192</v>
      </c>
      <c r="D5091" t="inlineStr">
        <is>
          <t>ÖSTERGÖTLANDS LÄN</t>
        </is>
      </c>
      <c r="E5091" t="inlineStr">
        <is>
          <t>SÖDERKÖPING</t>
        </is>
      </c>
      <c r="F5091" t="inlineStr">
        <is>
          <t>Holmen skog AB</t>
        </is>
      </c>
      <c r="G5091" t="n">
        <v>2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14485-2023</t>
        </is>
      </c>
      <c r="B5092" s="1" t="n">
        <v>45012</v>
      </c>
      <c r="C5092" s="1" t="n">
        <v>45192</v>
      </c>
      <c r="D5092" t="inlineStr">
        <is>
          <t>ÖSTERGÖTLANDS LÄN</t>
        </is>
      </c>
      <c r="E5092" t="inlineStr">
        <is>
          <t>NORRKÖPING</t>
        </is>
      </c>
      <c r="G5092" t="n">
        <v>9.9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14486-2023</t>
        </is>
      </c>
      <c r="B5093" s="1" t="n">
        <v>45012</v>
      </c>
      <c r="C5093" s="1" t="n">
        <v>45192</v>
      </c>
      <c r="D5093" t="inlineStr">
        <is>
          <t>ÖSTERGÖTLANDS LÄN</t>
        </is>
      </c>
      <c r="E5093" t="inlineStr">
        <is>
          <t>NORRKÖPING</t>
        </is>
      </c>
      <c r="G5093" t="n">
        <v>3.2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14715-2023</t>
        </is>
      </c>
      <c r="B5094" s="1" t="n">
        <v>45012</v>
      </c>
      <c r="C5094" s="1" t="n">
        <v>45192</v>
      </c>
      <c r="D5094" t="inlineStr">
        <is>
          <t>ÖSTERGÖTLANDS LÄN</t>
        </is>
      </c>
      <c r="E5094" t="inlineStr">
        <is>
          <t>LINKÖPING</t>
        </is>
      </c>
      <c r="G5094" t="n">
        <v>9.4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14504-2023</t>
        </is>
      </c>
      <c r="B5095" s="1" t="n">
        <v>45012</v>
      </c>
      <c r="C5095" s="1" t="n">
        <v>45192</v>
      </c>
      <c r="D5095" t="inlineStr">
        <is>
          <t>ÖSTERGÖTLANDS LÄN</t>
        </is>
      </c>
      <c r="E5095" t="inlineStr">
        <is>
          <t>NORRKÖPING</t>
        </is>
      </c>
      <c r="G5095" t="n">
        <v>0.5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14576-2023</t>
        </is>
      </c>
      <c r="B5096" s="1" t="n">
        <v>45013</v>
      </c>
      <c r="C5096" s="1" t="n">
        <v>45192</v>
      </c>
      <c r="D5096" t="inlineStr">
        <is>
          <t>ÖSTERGÖTLANDS LÄN</t>
        </is>
      </c>
      <c r="E5096" t="inlineStr">
        <is>
          <t>LINKÖPING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14901-2023</t>
        </is>
      </c>
      <c r="B5097" s="1" t="n">
        <v>45014</v>
      </c>
      <c r="C5097" s="1" t="n">
        <v>45192</v>
      </c>
      <c r="D5097" t="inlineStr">
        <is>
          <t>ÖSTERGÖTLANDS LÄN</t>
        </is>
      </c>
      <c r="E5097" t="inlineStr">
        <is>
          <t>NORRKÖPING</t>
        </is>
      </c>
      <c r="G5097" t="n">
        <v>1.7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14679-2023</t>
        </is>
      </c>
      <c r="B5098" s="1" t="n">
        <v>45014</v>
      </c>
      <c r="C5098" s="1" t="n">
        <v>45192</v>
      </c>
      <c r="D5098" t="inlineStr">
        <is>
          <t>ÖSTERGÖTLANDS LÄN</t>
        </is>
      </c>
      <c r="E5098" t="inlineStr">
        <is>
          <t>SÖDERKÖPING</t>
        </is>
      </c>
      <c r="F5098" t="inlineStr">
        <is>
          <t>Holmen skog AB</t>
        </is>
      </c>
      <c r="G5098" t="n">
        <v>3.9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14899-2023</t>
        </is>
      </c>
      <c r="B5099" s="1" t="n">
        <v>45014</v>
      </c>
      <c r="C5099" s="1" t="n">
        <v>45192</v>
      </c>
      <c r="D5099" t="inlineStr">
        <is>
          <t>ÖSTERGÖTLANDS LÄN</t>
        </is>
      </c>
      <c r="E5099" t="inlineStr">
        <is>
          <t>NORRKÖPING</t>
        </is>
      </c>
      <c r="G5099" t="n">
        <v>2.5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15039-2023</t>
        </is>
      </c>
      <c r="B5100" s="1" t="n">
        <v>45015</v>
      </c>
      <c r="C5100" s="1" t="n">
        <v>45192</v>
      </c>
      <c r="D5100" t="inlineStr">
        <is>
          <t>ÖSTERGÖTLANDS LÄN</t>
        </is>
      </c>
      <c r="E5100" t="inlineStr">
        <is>
          <t>ÅTVIDABERG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14896-2023</t>
        </is>
      </c>
      <c r="B5101" s="1" t="n">
        <v>45015</v>
      </c>
      <c r="C5101" s="1" t="n">
        <v>45192</v>
      </c>
      <c r="D5101" t="inlineStr">
        <is>
          <t>ÖSTERGÖTLANDS LÄN</t>
        </is>
      </c>
      <c r="E5101" t="inlineStr">
        <is>
          <t>SÖDERKÖPING</t>
        </is>
      </c>
      <c r="G5101" t="n">
        <v>3.4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14908-2023</t>
        </is>
      </c>
      <c r="B5102" s="1" t="n">
        <v>45015</v>
      </c>
      <c r="C5102" s="1" t="n">
        <v>45192</v>
      </c>
      <c r="D5102" t="inlineStr">
        <is>
          <t>ÖSTERGÖTLANDS LÄN</t>
        </is>
      </c>
      <c r="E5102" t="inlineStr">
        <is>
          <t>LINKÖPING</t>
        </is>
      </c>
      <c r="G5102" t="n">
        <v>2.6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14922-2023</t>
        </is>
      </c>
      <c r="B5103" s="1" t="n">
        <v>45015</v>
      </c>
      <c r="C5103" s="1" t="n">
        <v>45192</v>
      </c>
      <c r="D5103" t="inlineStr">
        <is>
          <t>ÖSTERGÖTLANDS LÄN</t>
        </is>
      </c>
      <c r="E5103" t="inlineStr">
        <is>
          <t>LINKÖPING</t>
        </is>
      </c>
      <c r="G5103" t="n">
        <v>2.1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15038-2023</t>
        </is>
      </c>
      <c r="B5104" s="1" t="n">
        <v>45015</v>
      </c>
      <c r="C5104" s="1" t="n">
        <v>45192</v>
      </c>
      <c r="D5104" t="inlineStr">
        <is>
          <t>ÖSTERGÖTLANDS LÄN</t>
        </is>
      </c>
      <c r="E5104" t="inlineStr">
        <is>
          <t>ÅTVIDABERG</t>
        </is>
      </c>
      <c r="G5104" t="n">
        <v>2.8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15112-2023</t>
        </is>
      </c>
      <c r="B5105" s="1" t="n">
        <v>45016</v>
      </c>
      <c r="C5105" s="1" t="n">
        <v>45192</v>
      </c>
      <c r="D5105" t="inlineStr">
        <is>
          <t>ÖSTERGÖTLANDS LÄN</t>
        </is>
      </c>
      <c r="E5105" t="inlineStr">
        <is>
          <t>YDRE</t>
        </is>
      </c>
      <c r="F5105" t="inlineStr">
        <is>
          <t>Övriga Aktiebolag</t>
        </is>
      </c>
      <c r="G5105" t="n">
        <v>0.5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15079-2023</t>
        </is>
      </c>
      <c r="B5106" s="1" t="n">
        <v>45016</v>
      </c>
      <c r="C5106" s="1" t="n">
        <v>45192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1.1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15254-2023</t>
        </is>
      </c>
      <c r="B5107" s="1" t="n">
        <v>45019</v>
      </c>
      <c r="C5107" s="1" t="n">
        <v>45192</v>
      </c>
      <c r="D5107" t="inlineStr">
        <is>
          <t>ÖSTERGÖTLANDS LÄN</t>
        </is>
      </c>
      <c r="E5107" t="inlineStr">
        <is>
          <t>SÖDERKÖPING</t>
        </is>
      </c>
      <c r="F5107" t="inlineStr">
        <is>
          <t>Holmen skog AB</t>
        </is>
      </c>
      <c r="G5107" t="n">
        <v>2.6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15545-2023</t>
        </is>
      </c>
      <c r="B5108" s="1" t="n">
        <v>45020</v>
      </c>
      <c r="C5108" s="1" t="n">
        <v>45192</v>
      </c>
      <c r="D5108" t="inlineStr">
        <is>
          <t>ÖSTERGÖTLANDS LÄN</t>
        </is>
      </c>
      <c r="E5108" t="inlineStr">
        <is>
          <t>VALDEMARSVIK</t>
        </is>
      </c>
      <c r="G5108" t="n">
        <v>2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15572-2023</t>
        </is>
      </c>
      <c r="B5109" s="1" t="n">
        <v>45020</v>
      </c>
      <c r="C5109" s="1" t="n">
        <v>45192</v>
      </c>
      <c r="D5109" t="inlineStr">
        <is>
          <t>ÖSTERGÖTLANDS LÄN</t>
        </is>
      </c>
      <c r="E5109" t="inlineStr">
        <is>
          <t>VALDEMARSVIK</t>
        </is>
      </c>
      <c r="G5109" t="n">
        <v>1.6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15583-2023</t>
        </is>
      </c>
      <c r="B5110" s="1" t="n">
        <v>45020</v>
      </c>
      <c r="C5110" s="1" t="n">
        <v>45192</v>
      </c>
      <c r="D5110" t="inlineStr">
        <is>
          <t>ÖSTERGÖTLANDS LÄN</t>
        </is>
      </c>
      <c r="E5110" t="inlineStr">
        <is>
          <t>LINKÖPING</t>
        </is>
      </c>
      <c r="F5110" t="inlineStr">
        <is>
          <t>Sveaskog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15544-2023</t>
        </is>
      </c>
      <c r="B5111" s="1" t="n">
        <v>45020</v>
      </c>
      <c r="C5111" s="1" t="n">
        <v>45192</v>
      </c>
      <c r="D5111" t="inlineStr">
        <is>
          <t>ÖSTERGÖTLANDS LÄN</t>
        </is>
      </c>
      <c r="E5111" t="inlineStr">
        <is>
          <t>VALDEMARSVIK</t>
        </is>
      </c>
      <c r="G5111" t="n">
        <v>3.3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15538-2023</t>
        </is>
      </c>
      <c r="B5112" s="1" t="n">
        <v>45020</v>
      </c>
      <c r="C5112" s="1" t="n">
        <v>45192</v>
      </c>
      <c r="D5112" t="inlineStr">
        <is>
          <t>ÖSTERGÖTLANDS LÄN</t>
        </is>
      </c>
      <c r="E5112" t="inlineStr">
        <is>
          <t>VALDEMARSVIK</t>
        </is>
      </c>
      <c r="G5112" t="n">
        <v>5.1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15672-2023</t>
        </is>
      </c>
      <c r="B5113" s="1" t="n">
        <v>45020</v>
      </c>
      <c r="C5113" s="1" t="n">
        <v>45192</v>
      </c>
      <c r="D5113" t="inlineStr">
        <is>
          <t>ÖSTERGÖTLANDS LÄN</t>
        </is>
      </c>
      <c r="E5113" t="inlineStr">
        <is>
          <t>ÅTVIDABERG</t>
        </is>
      </c>
      <c r="G5113" t="n">
        <v>2.8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15664-2023</t>
        </is>
      </c>
      <c r="B5114" s="1" t="n">
        <v>45021</v>
      </c>
      <c r="C5114" s="1" t="n">
        <v>45192</v>
      </c>
      <c r="D5114" t="inlineStr">
        <is>
          <t>ÖSTERGÖTLANDS LÄN</t>
        </is>
      </c>
      <c r="E5114" t="inlineStr">
        <is>
          <t>FINSPÅNG</t>
        </is>
      </c>
      <c r="G5114" t="n">
        <v>1.5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15638-2023</t>
        </is>
      </c>
      <c r="B5115" s="1" t="n">
        <v>45021</v>
      </c>
      <c r="C5115" s="1" t="n">
        <v>45192</v>
      </c>
      <c r="D5115" t="inlineStr">
        <is>
          <t>ÖSTERGÖTLANDS LÄN</t>
        </is>
      </c>
      <c r="E5115" t="inlineStr">
        <is>
          <t>ÅTVIDABERG</t>
        </is>
      </c>
      <c r="G5115" t="n">
        <v>1.6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15676-2023</t>
        </is>
      </c>
      <c r="B5116" s="1" t="n">
        <v>45021</v>
      </c>
      <c r="C5116" s="1" t="n">
        <v>45192</v>
      </c>
      <c r="D5116" t="inlineStr">
        <is>
          <t>ÖSTERGÖTLANDS LÄN</t>
        </is>
      </c>
      <c r="E5116" t="inlineStr">
        <is>
          <t>FINSPÅNG</t>
        </is>
      </c>
      <c r="G5116" t="n">
        <v>3.9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15674-2023</t>
        </is>
      </c>
      <c r="B5117" s="1" t="n">
        <v>45021</v>
      </c>
      <c r="C5117" s="1" t="n">
        <v>45192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15669-2023</t>
        </is>
      </c>
      <c r="B5118" s="1" t="n">
        <v>45021</v>
      </c>
      <c r="C5118" s="1" t="n">
        <v>45192</v>
      </c>
      <c r="D5118" t="inlineStr">
        <is>
          <t>ÖSTERGÖTLANDS LÄN</t>
        </is>
      </c>
      <c r="E5118" t="inlineStr">
        <is>
          <t>FINSPÅNG</t>
        </is>
      </c>
      <c r="G5118" t="n">
        <v>1.9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15901-2023</t>
        </is>
      </c>
      <c r="B5119" s="1" t="n">
        <v>45022</v>
      </c>
      <c r="C5119" s="1" t="n">
        <v>45192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15950-2023</t>
        </is>
      </c>
      <c r="B5120" s="1" t="n">
        <v>45022</v>
      </c>
      <c r="C5120" s="1" t="n">
        <v>45192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2.6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15865-2023</t>
        </is>
      </c>
      <c r="B5121" s="1" t="n">
        <v>45022</v>
      </c>
      <c r="C5121" s="1" t="n">
        <v>45192</v>
      </c>
      <c r="D5121" t="inlineStr">
        <is>
          <t>ÖSTERGÖTLANDS LÄN</t>
        </is>
      </c>
      <c r="E5121" t="inlineStr">
        <is>
          <t>FINSPÅNG</t>
        </is>
      </c>
      <c r="F5121" t="inlineStr">
        <is>
          <t>Holmen skog AB</t>
        </is>
      </c>
      <c r="G5121" t="n">
        <v>0.6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15911-2023</t>
        </is>
      </c>
      <c r="B5122" s="1" t="n">
        <v>45022</v>
      </c>
      <c r="C5122" s="1" t="n">
        <v>45192</v>
      </c>
      <c r="D5122" t="inlineStr">
        <is>
          <t>ÖSTERGÖTLANDS LÄN</t>
        </is>
      </c>
      <c r="E5122" t="inlineStr">
        <is>
          <t>ÅTVIDABERG</t>
        </is>
      </c>
      <c r="G5122" t="n">
        <v>0.4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15951-2023</t>
        </is>
      </c>
      <c r="B5123" s="1" t="n">
        <v>45022</v>
      </c>
      <c r="C5123" s="1" t="n">
        <v>45192</v>
      </c>
      <c r="D5123" t="inlineStr">
        <is>
          <t>ÖSTERGÖTLANDS LÄN</t>
        </is>
      </c>
      <c r="E5123" t="inlineStr">
        <is>
          <t>YDRE</t>
        </is>
      </c>
      <c r="F5123" t="inlineStr">
        <is>
          <t>Övriga Aktiebolag</t>
        </is>
      </c>
      <c r="G5123" t="n">
        <v>6.5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16277-2023</t>
        </is>
      </c>
      <c r="B5124" s="1" t="n">
        <v>45022</v>
      </c>
      <c r="C5124" s="1" t="n">
        <v>45192</v>
      </c>
      <c r="D5124" t="inlineStr">
        <is>
          <t>ÖSTERGÖTLANDS LÄN</t>
        </is>
      </c>
      <c r="E5124" t="inlineStr">
        <is>
          <t>KINDA</t>
        </is>
      </c>
      <c r="G5124" t="n">
        <v>6.9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15947-2023</t>
        </is>
      </c>
      <c r="B5125" s="1" t="n">
        <v>45022</v>
      </c>
      <c r="C5125" s="1" t="n">
        <v>45192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Holmen skog AB</t>
        </is>
      </c>
      <c r="G5125" t="n">
        <v>1.1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15967-2023</t>
        </is>
      </c>
      <c r="B5126" s="1" t="n">
        <v>45022</v>
      </c>
      <c r="C5126" s="1" t="n">
        <v>45192</v>
      </c>
      <c r="D5126" t="inlineStr">
        <is>
          <t>ÖSTERGÖTLANDS LÄN</t>
        </is>
      </c>
      <c r="E5126" t="inlineStr">
        <is>
          <t>FINSPÅNG</t>
        </is>
      </c>
      <c r="F5126" t="inlineStr">
        <is>
          <t>Naturvårdsverket</t>
        </is>
      </c>
      <c r="G5126" t="n">
        <v>7.1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15866-2023</t>
        </is>
      </c>
      <c r="B5127" s="1" t="n">
        <v>45022</v>
      </c>
      <c r="C5127" s="1" t="n">
        <v>45192</v>
      </c>
      <c r="D5127" t="inlineStr">
        <is>
          <t>ÖSTERGÖTLANDS LÄN</t>
        </is>
      </c>
      <c r="E5127" t="inlineStr">
        <is>
          <t>LINKÖPING</t>
        </is>
      </c>
      <c r="G5127" t="n">
        <v>1.6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15913-2023</t>
        </is>
      </c>
      <c r="B5128" s="1" t="n">
        <v>45022</v>
      </c>
      <c r="C5128" s="1" t="n">
        <v>45192</v>
      </c>
      <c r="D5128" t="inlineStr">
        <is>
          <t>ÖSTERGÖTLANDS LÄN</t>
        </is>
      </c>
      <c r="E5128" t="inlineStr">
        <is>
          <t>ÅTVIDABERG</t>
        </is>
      </c>
      <c r="G5128" t="n">
        <v>0.3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16156-2023</t>
        </is>
      </c>
      <c r="B5129" s="1" t="n">
        <v>45027</v>
      </c>
      <c r="C5129" s="1" t="n">
        <v>45192</v>
      </c>
      <c r="D5129" t="inlineStr">
        <is>
          <t>ÖSTERGÖTLANDS LÄN</t>
        </is>
      </c>
      <c r="E5129" t="inlineStr">
        <is>
          <t>BOXHOLM</t>
        </is>
      </c>
      <c r="F5129" t="inlineStr">
        <is>
          <t>Allmännings- och besparingsskogar</t>
        </is>
      </c>
      <c r="G5129" t="n">
        <v>6.2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16162-2023</t>
        </is>
      </c>
      <c r="B5130" s="1" t="n">
        <v>45027</v>
      </c>
      <c r="C5130" s="1" t="n">
        <v>45192</v>
      </c>
      <c r="D5130" t="inlineStr">
        <is>
          <t>ÖSTERGÖTLANDS LÄN</t>
        </is>
      </c>
      <c r="E5130" t="inlineStr">
        <is>
          <t>ÖDESHÖG</t>
        </is>
      </c>
      <c r="F5130" t="inlineStr">
        <is>
          <t>Allmännings- och besparingsskogar</t>
        </is>
      </c>
      <c r="G5130" t="n">
        <v>1.6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16604-2023</t>
        </is>
      </c>
      <c r="B5131" s="1" t="n">
        <v>45027</v>
      </c>
      <c r="C5131" s="1" t="n">
        <v>45192</v>
      </c>
      <c r="D5131" t="inlineStr">
        <is>
          <t>ÖSTERGÖTLANDS LÄN</t>
        </is>
      </c>
      <c r="E5131" t="inlineStr">
        <is>
          <t>NORRKÖPING</t>
        </is>
      </c>
      <c r="G5131" t="n">
        <v>0.7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16164-2023</t>
        </is>
      </c>
      <c r="B5132" s="1" t="n">
        <v>45027</v>
      </c>
      <c r="C5132" s="1" t="n">
        <v>45192</v>
      </c>
      <c r="D5132" t="inlineStr">
        <is>
          <t>ÖSTERGÖTLANDS LÄN</t>
        </is>
      </c>
      <c r="E5132" t="inlineStr">
        <is>
          <t>ÖDESHÖG</t>
        </is>
      </c>
      <c r="F5132" t="inlineStr">
        <is>
          <t>Allmännings- och besparingsskogar</t>
        </is>
      </c>
      <c r="G5132" t="n">
        <v>1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16594-2023</t>
        </is>
      </c>
      <c r="B5133" s="1" t="n">
        <v>45027</v>
      </c>
      <c r="C5133" s="1" t="n">
        <v>45192</v>
      </c>
      <c r="D5133" t="inlineStr">
        <is>
          <t>ÖSTERGÖTLANDS LÄN</t>
        </is>
      </c>
      <c r="E5133" t="inlineStr">
        <is>
          <t>NORRKÖPING</t>
        </is>
      </c>
      <c r="G5133" t="n">
        <v>1.6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16167-2023</t>
        </is>
      </c>
      <c r="B5134" s="1" t="n">
        <v>45027</v>
      </c>
      <c r="C5134" s="1" t="n">
        <v>45192</v>
      </c>
      <c r="D5134" t="inlineStr">
        <is>
          <t>ÖSTERGÖTLANDS LÄN</t>
        </is>
      </c>
      <c r="E5134" t="inlineStr">
        <is>
          <t>ÖDESHÖG</t>
        </is>
      </c>
      <c r="F5134" t="inlineStr">
        <is>
          <t>Allmännings- och besparingsskogar</t>
        </is>
      </c>
      <c r="G5134" t="n">
        <v>4.4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16251-2023</t>
        </is>
      </c>
      <c r="B5135" s="1" t="n">
        <v>45028</v>
      </c>
      <c r="C5135" s="1" t="n">
        <v>45192</v>
      </c>
      <c r="D5135" t="inlineStr">
        <is>
          <t>ÖSTERGÖTLANDS LÄN</t>
        </is>
      </c>
      <c r="E5135" t="inlineStr">
        <is>
          <t>NORRKÖPING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16342-2023</t>
        </is>
      </c>
      <c r="B5136" s="1" t="n">
        <v>45028</v>
      </c>
      <c r="C5136" s="1" t="n">
        <v>45192</v>
      </c>
      <c r="D5136" t="inlineStr">
        <is>
          <t>ÖSTERGÖTLANDS LÄN</t>
        </is>
      </c>
      <c r="E5136" t="inlineStr">
        <is>
          <t>VALDEMARSVIK</t>
        </is>
      </c>
      <c r="G5136" t="n">
        <v>4.1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16252-2023</t>
        </is>
      </c>
      <c r="B5137" s="1" t="n">
        <v>45028</v>
      </c>
      <c r="C5137" s="1" t="n">
        <v>45192</v>
      </c>
      <c r="D5137" t="inlineStr">
        <is>
          <t>ÖSTERGÖTLANDS LÄN</t>
        </is>
      </c>
      <c r="E5137" t="inlineStr">
        <is>
          <t>NORRKÖPING</t>
        </is>
      </c>
      <c r="G5137" t="n">
        <v>2.5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16253-2023</t>
        </is>
      </c>
      <c r="B5138" s="1" t="n">
        <v>45028</v>
      </c>
      <c r="C5138" s="1" t="n">
        <v>45192</v>
      </c>
      <c r="D5138" t="inlineStr">
        <is>
          <t>ÖSTERGÖTLANDS LÄN</t>
        </is>
      </c>
      <c r="E5138" t="inlineStr">
        <is>
          <t>NORRKÖPING</t>
        </is>
      </c>
      <c r="G5138" t="n">
        <v>1.4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16272-2023</t>
        </is>
      </c>
      <c r="B5139" s="1" t="n">
        <v>45028</v>
      </c>
      <c r="C5139" s="1" t="n">
        <v>45192</v>
      </c>
      <c r="D5139" t="inlineStr">
        <is>
          <t>ÖSTERGÖTLANDS LÄN</t>
        </is>
      </c>
      <c r="E5139" t="inlineStr">
        <is>
          <t>SÖDERKÖPING</t>
        </is>
      </c>
      <c r="G5139" t="n">
        <v>4.3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16286-2023</t>
        </is>
      </c>
      <c r="B5140" s="1" t="n">
        <v>45028</v>
      </c>
      <c r="C5140" s="1" t="n">
        <v>45192</v>
      </c>
      <c r="D5140" t="inlineStr">
        <is>
          <t>ÖSTERGÖTLANDS LÄN</t>
        </is>
      </c>
      <c r="E5140" t="inlineStr">
        <is>
          <t>SÖDERKÖPING</t>
        </is>
      </c>
      <c r="G5140" t="n">
        <v>0.6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16541-2023</t>
        </is>
      </c>
      <c r="B5141" s="1" t="n">
        <v>45029</v>
      </c>
      <c r="C5141" s="1" t="n">
        <v>45192</v>
      </c>
      <c r="D5141" t="inlineStr">
        <is>
          <t>ÖSTERGÖTLANDS LÄN</t>
        </is>
      </c>
      <c r="E5141" t="inlineStr">
        <is>
          <t>KINDA</t>
        </is>
      </c>
      <c r="G5141" t="n">
        <v>1.2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16452-2023</t>
        </is>
      </c>
      <c r="B5142" s="1" t="n">
        <v>45029</v>
      </c>
      <c r="C5142" s="1" t="n">
        <v>45192</v>
      </c>
      <c r="D5142" t="inlineStr">
        <is>
          <t>ÖSTERGÖTLANDS LÄN</t>
        </is>
      </c>
      <c r="E5142" t="inlineStr">
        <is>
          <t>MOTALA</t>
        </is>
      </c>
      <c r="G5142" t="n">
        <v>0.7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16607-2023</t>
        </is>
      </c>
      <c r="B5143" s="1" t="n">
        <v>45030</v>
      </c>
      <c r="C5143" s="1" t="n">
        <v>45192</v>
      </c>
      <c r="D5143" t="inlineStr">
        <is>
          <t>ÖSTERGÖTLANDS LÄN</t>
        </is>
      </c>
      <c r="E5143" t="inlineStr">
        <is>
          <t>KINDA</t>
        </is>
      </c>
      <c r="G5143" t="n">
        <v>4.7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16700-2023</t>
        </is>
      </c>
      <c r="B5144" s="1" t="n">
        <v>45030</v>
      </c>
      <c r="C5144" s="1" t="n">
        <v>45192</v>
      </c>
      <c r="D5144" t="inlineStr">
        <is>
          <t>ÖSTERGÖTLANDS LÄN</t>
        </is>
      </c>
      <c r="E5144" t="inlineStr">
        <is>
          <t>NORRKÖPING</t>
        </is>
      </c>
      <c r="G5144" t="n">
        <v>3.6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16708-2023</t>
        </is>
      </c>
      <c r="B5145" s="1" t="n">
        <v>45030</v>
      </c>
      <c r="C5145" s="1" t="n">
        <v>45192</v>
      </c>
      <c r="D5145" t="inlineStr">
        <is>
          <t>ÖSTERGÖTLANDS LÄN</t>
        </is>
      </c>
      <c r="E5145" t="inlineStr">
        <is>
          <t>NORRKÖPING</t>
        </is>
      </c>
      <c r="G5145" t="n">
        <v>6.4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16610-2023</t>
        </is>
      </c>
      <c r="B5146" s="1" t="n">
        <v>45030</v>
      </c>
      <c r="C5146" s="1" t="n">
        <v>45192</v>
      </c>
      <c r="D5146" t="inlineStr">
        <is>
          <t>ÖSTERGÖTLANDS LÄN</t>
        </is>
      </c>
      <c r="E5146" t="inlineStr">
        <is>
          <t>KINDA</t>
        </is>
      </c>
      <c r="G5146" t="n">
        <v>3.4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16659-2023</t>
        </is>
      </c>
      <c r="B5147" s="1" t="n">
        <v>45030</v>
      </c>
      <c r="C5147" s="1" t="n">
        <v>45192</v>
      </c>
      <c r="D5147" t="inlineStr">
        <is>
          <t>ÖSTERGÖTLANDS LÄN</t>
        </is>
      </c>
      <c r="E5147" t="inlineStr">
        <is>
          <t>NORRKÖPING</t>
        </is>
      </c>
      <c r="G5147" t="n">
        <v>5.4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16692-2023</t>
        </is>
      </c>
      <c r="B5148" s="1" t="n">
        <v>45030</v>
      </c>
      <c r="C5148" s="1" t="n">
        <v>45192</v>
      </c>
      <c r="D5148" t="inlineStr">
        <is>
          <t>ÖSTERGÖTLANDS LÄN</t>
        </is>
      </c>
      <c r="E5148" t="inlineStr">
        <is>
          <t>NORRKÖPING</t>
        </is>
      </c>
      <c r="G5148" t="n">
        <v>1.8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16611-2023</t>
        </is>
      </c>
      <c r="B5149" s="1" t="n">
        <v>45030</v>
      </c>
      <c r="C5149" s="1" t="n">
        <v>45192</v>
      </c>
      <c r="D5149" t="inlineStr">
        <is>
          <t>ÖSTERGÖTLANDS LÄN</t>
        </is>
      </c>
      <c r="E5149" t="inlineStr">
        <is>
          <t>KINDA</t>
        </is>
      </c>
      <c r="G5149" t="n">
        <v>4.3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16689-2023</t>
        </is>
      </c>
      <c r="B5150" s="1" t="n">
        <v>45030</v>
      </c>
      <c r="C5150" s="1" t="n">
        <v>45192</v>
      </c>
      <c r="D5150" t="inlineStr">
        <is>
          <t>ÖSTERGÖTLANDS LÄN</t>
        </is>
      </c>
      <c r="E5150" t="inlineStr">
        <is>
          <t>NORRKÖPING</t>
        </is>
      </c>
      <c r="G5150" t="n">
        <v>2.1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16714-2023</t>
        </is>
      </c>
      <c r="B5151" s="1" t="n">
        <v>45030</v>
      </c>
      <c r="C5151" s="1" t="n">
        <v>45192</v>
      </c>
      <c r="D5151" t="inlineStr">
        <is>
          <t>ÖSTERGÖTLANDS LÄN</t>
        </is>
      </c>
      <c r="E5151" t="inlineStr">
        <is>
          <t>NORRKÖPING</t>
        </is>
      </c>
      <c r="G5151" t="n">
        <v>2.5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16586-2023</t>
        </is>
      </c>
      <c r="B5152" s="1" t="n">
        <v>45030</v>
      </c>
      <c r="C5152" s="1" t="n">
        <v>45192</v>
      </c>
      <c r="D5152" t="inlineStr">
        <is>
          <t>ÖSTERGÖTLANDS LÄN</t>
        </is>
      </c>
      <c r="E5152" t="inlineStr">
        <is>
          <t>MOTALA</t>
        </is>
      </c>
      <c r="F5152" t="inlineStr">
        <is>
          <t>Kyrkan</t>
        </is>
      </c>
      <c r="G5152" t="n">
        <v>0.7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16609-2023</t>
        </is>
      </c>
      <c r="B5153" s="1" t="n">
        <v>45030</v>
      </c>
      <c r="C5153" s="1" t="n">
        <v>45192</v>
      </c>
      <c r="D5153" t="inlineStr">
        <is>
          <t>ÖSTERGÖTLANDS LÄN</t>
        </is>
      </c>
      <c r="E5153" t="inlineStr">
        <is>
          <t>KINDA</t>
        </is>
      </c>
      <c r="G5153" t="n">
        <v>5.5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16691-2023</t>
        </is>
      </c>
      <c r="B5154" s="1" t="n">
        <v>45030</v>
      </c>
      <c r="C5154" s="1" t="n">
        <v>45192</v>
      </c>
      <c r="D5154" t="inlineStr">
        <is>
          <t>ÖSTERGÖTLANDS LÄN</t>
        </is>
      </c>
      <c r="E5154" t="inlineStr">
        <is>
          <t>NORRKÖPING</t>
        </is>
      </c>
      <c r="G5154" t="n">
        <v>4.1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16711-2023</t>
        </is>
      </c>
      <c r="B5155" s="1" t="n">
        <v>45030</v>
      </c>
      <c r="C5155" s="1" t="n">
        <v>45192</v>
      </c>
      <c r="D5155" t="inlineStr">
        <is>
          <t>ÖSTERGÖTLANDS LÄN</t>
        </is>
      </c>
      <c r="E5155" t="inlineStr">
        <is>
          <t>NORRKÖPING</t>
        </is>
      </c>
      <c r="G5155" t="n">
        <v>1.8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16880-2023</t>
        </is>
      </c>
      <c r="B5156" s="1" t="n">
        <v>45033</v>
      </c>
      <c r="C5156" s="1" t="n">
        <v>45192</v>
      </c>
      <c r="D5156" t="inlineStr">
        <is>
          <t>ÖSTERGÖTLANDS LÄN</t>
        </is>
      </c>
      <c r="E5156" t="inlineStr">
        <is>
          <t>FINSPÅNG</t>
        </is>
      </c>
      <c r="F5156" t="inlineStr">
        <is>
          <t>Holmen skog AB</t>
        </is>
      </c>
      <c r="G5156" t="n">
        <v>1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16918-2023</t>
        </is>
      </c>
      <c r="B5157" s="1" t="n">
        <v>45033</v>
      </c>
      <c r="C5157" s="1" t="n">
        <v>45192</v>
      </c>
      <c r="D5157" t="inlineStr">
        <is>
          <t>ÖSTERGÖTLANDS LÄN</t>
        </is>
      </c>
      <c r="E5157" t="inlineStr">
        <is>
          <t>NORRKÖPING</t>
        </is>
      </c>
      <c r="G5157" t="n">
        <v>2.6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16949-2023</t>
        </is>
      </c>
      <c r="B5158" s="1" t="n">
        <v>45033</v>
      </c>
      <c r="C5158" s="1" t="n">
        <v>45192</v>
      </c>
      <c r="D5158" t="inlineStr">
        <is>
          <t>ÖSTERGÖTLANDS LÄN</t>
        </is>
      </c>
      <c r="E5158" t="inlineStr">
        <is>
          <t>NORRKÖPING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16971-2023</t>
        </is>
      </c>
      <c r="B5159" s="1" t="n">
        <v>45033</v>
      </c>
      <c r="C5159" s="1" t="n">
        <v>45192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0.9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16964-2023</t>
        </is>
      </c>
      <c r="B5160" s="1" t="n">
        <v>45033</v>
      </c>
      <c r="C5160" s="1" t="n">
        <v>45192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0.8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16975-2023</t>
        </is>
      </c>
      <c r="B5161" s="1" t="n">
        <v>45033</v>
      </c>
      <c r="C5161" s="1" t="n">
        <v>45192</v>
      </c>
      <c r="D5161" t="inlineStr">
        <is>
          <t>ÖSTERGÖTLANDS LÄN</t>
        </is>
      </c>
      <c r="E5161" t="inlineStr">
        <is>
          <t>FINSPÅNG</t>
        </is>
      </c>
      <c r="F5161" t="inlineStr">
        <is>
          <t>Naturvårdsverket</t>
        </is>
      </c>
      <c r="G5161" t="n">
        <v>0.5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17142-2023</t>
        </is>
      </c>
      <c r="B5162" s="1" t="n">
        <v>45034</v>
      </c>
      <c r="C5162" s="1" t="n">
        <v>45192</v>
      </c>
      <c r="D5162" t="inlineStr">
        <is>
          <t>ÖSTERGÖTLANDS LÄN</t>
        </is>
      </c>
      <c r="E5162" t="inlineStr">
        <is>
          <t>MOTALA</t>
        </is>
      </c>
      <c r="G5162" t="n">
        <v>2.5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17151-2023</t>
        </is>
      </c>
      <c r="B5163" s="1" t="n">
        <v>45034</v>
      </c>
      <c r="C5163" s="1" t="n">
        <v>45192</v>
      </c>
      <c r="D5163" t="inlineStr">
        <is>
          <t>ÖSTERGÖTLANDS LÄN</t>
        </is>
      </c>
      <c r="E5163" t="inlineStr">
        <is>
          <t>MOTALA</t>
        </is>
      </c>
      <c r="G5163" t="n">
        <v>1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17148-2023</t>
        </is>
      </c>
      <c r="B5164" s="1" t="n">
        <v>45034</v>
      </c>
      <c r="C5164" s="1" t="n">
        <v>45192</v>
      </c>
      <c r="D5164" t="inlineStr">
        <is>
          <t>ÖSTERGÖTLANDS LÄN</t>
        </is>
      </c>
      <c r="E5164" t="inlineStr">
        <is>
          <t>MOTALA</t>
        </is>
      </c>
      <c r="G5164" t="n">
        <v>0.6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17366-2023</t>
        </is>
      </c>
      <c r="B5165" s="1" t="n">
        <v>45035</v>
      </c>
      <c r="C5165" s="1" t="n">
        <v>45192</v>
      </c>
      <c r="D5165" t="inlineStr">
        <is>
          <t>ÖSTERGÖTLANDS LÄN</t>
        </is>
      </c>
      <c r="E5165" t="inlineStr">
        <is>
          <t>KINDA</t>
        </is>
      </c>
      <c r="G5165" t="n">
        <v>0.5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17260-2023</t>
        </is>
      </c>
      <c r="B5166" s="1" t="n">
        <v>45035</v>
      </c>
      <c r="C5166" s="1" t="n">
        <v>45192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2.7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17296-2023</t>
        </is>
      </c>
      <c r="B5167" s="1" t="n">
        <v>45035</v>
      </c>
      <c r="C5167" s="1" t="n">
        <v>45192</v>
      </c>
      <c r="D5167" t="inlineStr">
        <is>
          <t>ÖSTERGÖTLANDS LÄN</t>
        </is>
      </c>
      <c r="E5167" t="inlineStr">
        <is>
          <t>VALDEMARSVIK</t>
        </is>
      </c>
      <c r="F5167" t="inlineStr">
        <is>
          <t>Holmen skog AB</t>
        </is>
      </c>
      <c r="G5167" t="n">
        <v>1.5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17638-2023</t>
        </is>
      </c>
      <c r="B5168" s="1" t="n">
        <v>45036</v>
      </c>
      <c r="C5168" s="1" t="n">
        <v>45192</v>
      </c>
      <c r="D5168" t="inlineStr">
        <is>
          <t>ÖSTERGÖTLANDS LÄN</t>
        </is>
      </c>
      <c r="E5168" t="inlineStr">
        <is>
          <t>KINDA</t>
        </is>
      </c>
      <c r="G5168" t="n">
        <v>2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17585-2023</t>
        </is>
      </c>
      <c r="B5169" s="1" t="n">
        <v>45036</v>
      </c>
      <c r="C5169" s="1" t="n">
        <v>45192</v>
      </c>
      <c r="D5169" t="inlineStr">
        <is>
          <t>ÖSTERGÖTLANDS LÄN</t>
        </is>
      </c>
      <c r="E5169" t="inlineStr">
        <is>
          <t>VALDEMARSVIK</t>
        </is>
      </c>
      <c r="G5169" t="n">
        <v>0.4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17590-2023</t>
        </is>
      </c>
      <c r="B5170" s="1" t="n">
        <v>45036</v>
      </c>
      <c r="C5170" s="1" t="n">
        <v>45192</v>
      </c>
      <c r="D5170" t="inlineStr">
        <is>
          <t>ÖSTERGÖTLANDS LÄN</t>
        </is>
      </c>
      <c r="E5170" t="inlineStr">
        <is>
          <t>VALDEMARSVIK</t>
        </is>
      </c>
      <c r="G5170" t="n">
        <v>2.3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17646-2023</t>
        </is>
      </c>
      <c r="B5171" s="1" t="n">
        <v>45036</v>
      </c>
      <c r="C5171" s="1" t="n">
        <v>45192</v>
      </c>
      <c r="D5171" t="inlineStr">
        <is>
          <t>ÖSTERGÖTLANDS LÄN</t>
        </is>
      </c>
      <c r="E5171" t="inlineStr">
        <is>
          <t>NORRKÖPING</t>
        </is>
      </c>
      <c r="G5171" t="n">
        <v>3.2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17637-2023</t>
        </is>
      </c>
      <c r="B5172" s="1" t="n">
        <v>45036</v>
      </c>
      <c r="C5172" s="1" t="n">
        <v>45192</v>
      </c>
      <c r="D5172" t="inlineStr">
        <is>
          <t>ÖSTERGÖTLANDS LÄN</t>
        </is>
      </c>
      <c r="E5172" t="inlineStr">
        <is>
          <t>KINDA</t>
        </is>
      </c>
      <c r="G5172" t="n">
        <v>1.2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17706-2023</t>
        </is>
      </c>
      <c r="B5173" s="1" t="n">
        <v>45037</v>
      </c>
      <c r="C5173" s="1" t="n">
        <v>45192</v>
      </c>
      <c r="D5173" t="inlineStr">
        <is>
          <t>ÖSTERGÖTLANDS LÄN</t>
        </is>
      </c>
      <c r="E5173" t="inlineStr">
        <is>
          <t>MJÖLBY</t>
        </is>
      </c>
      <c r="G5173" t="n">
        <v>2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17714-2023</t>
        </is>
      </c>
      <c r="B5174" s="1" t="n">
        <v>45037</v>
      </c>
      <c r="C5174" s="1" t="n">
        <v>45192</v>
      </c>
      <c r="D5174" t="inlineStr">
        <is>
          <t>ÖSTERGÖTLANDS LÄN</t>
        </is>
      </c>
      <c r="E5174" t="inlineStr">
        <is>
          <t>NORRKÖPING</t>
        </is>
      </c>
      <c r="G5174" t="n">
        <v>1.1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17835-2023</t>
        </is>
      </c>
      <c r="B5175" s="1" t="n">
        <v>45037</v>
      </c>
      <c r="C5175" s="1" t="n">
        <v>45192</v>
      </c>
      <c r="D5175" t="inlineStr">
        <is>
          <t>ÖSTERGÖTLANDS LÄN</t>
        </is>
      </c>
      <c r="E5175" t="inlineStr">
        <is>
          <t>KINDA</t>
        </is>
      </c>
      <c r="G5175" t="n">
        <v>4.6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17701-2023</t>
        </is>
      </c>
      <c r="B5176" s="1" t="n">
        <v>45037</v>
      </c>
      <c r="C5176" s="1" t="n">
        <v>45192</v>
      </c>
      <c r="D5176" t="inlineStr">
        <is>
          <t>ÖSTERGÖTLANDS LÄN</t>
        </is>
      </c>
      <c r="E5176" t="inlineStr">
        <is>
          <t>NORRKÖPING</t>
        </is>
      </c>
      <c r="G5176" t="n">
        <v>1.5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17795-2023</t>
        </is>
      </c>
      <c r="B5177" s="1" t="n">
        <v>45037</v>
      </c>
      <c r="C5177" s="1" t="n">
        <v>45192</v>
      </c>
      <c r="D5177" t="inlineStr">
        <is>
          <t>ÖSTERGÖTLANDS LÄN</t>
        </is>
      </c>
      <c r="E5177" t="inlineStr">
        <is>
          <t>NORRKÖPING</t>
        </is>
      </c>
      <c r="G5177" t="n">
        <v>2.2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17754-2023</t>
        </is>
      </c>
      <c r="B5178" s="1" t="n">
        <v>45037</v>
      </c>
      <c r="C5178" s="1" t="n">
        <v>45192</v>
      </c>
      <c r="D5178" t="inlineStr">
        <is>
          <t>ÖSTERGÖTLANDS LÄN</t>
        </is>
      </c>
      <c r="E5178" t="inlineStr">
        <is>
          <t>NORRKÖPING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17782-2023</t>
        </is>
      </c>
      <c r="B5179" s="1" t="n">
        <v>45037</v>
      </c>
      <c r="C5179" s="1" t="n">
        <v>45192</v>
      </c>
      <c r="D5179" t="inlineStr">
        <is>
          <t>ÖSTERGÖTLANDS LÄN</t>
        </is>
      </c>
      <c r="E5179" t="inlineStr">
        <is>
          <t>FINSPÅNG</t>
        </is>
      </c>
      <c r="F5179" t="inlineStr">
        <is>
          <t>Naturvårdsverket</t>
        </is>
      </c>
      <c r="G5179" t="n">
        <v>0.6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17802-2023</t>
        </is>
      </c>
      <c r="B5180" s="1" t="n">
        <v>45037</v>
      </c>
      <c r="C5180" s="1" t="n">
        <v>45192</v>
      </c>
      <c r="D5180" t="inlineStr">
        <is>
          <t>ÖSTERGÖTLANDS LÄN</t>
        </is>
      </c>
      <c r="E5180" t="inlineStr">
        <is>
          <t>NORRKÖPING</t>
        </is>
      </c>
      <c r="G5180" t="n">
        <v>1.4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17811-2023</t>
        </is>
      </c>
      <c r="B5181" s="1" t="n">
        <v>45037</v>
      </c>
      <c r="C5181" s="1" t="n">
        <v>45192</v>
      </c>
      <c r="D5181" t="inlineStr">
        <is>
          <t>ÖSTERGÖTLANDS LÄN</t>
        </is>
      </c>
      <c r="E5181" t="inlineStr">
        <is>
          <t>FINSPÅNG</t>
        </is>
      </c>
      <c r="F5181" t="inlineStr">
        <is>
          <t>Naturvårdsverket</t>
        </is>
      </c>
      <c r="G5181" t="n">
        <v>1.7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17702-2023</t>
        </is>
      </c>
      <c r="B5182" s="1" t="n">
        <v>45037</v>
      </c>
      <c r="C5182" s="1" t="n">
        <v>45192</v>
      </c>
      <c r="D5182" t="inlineStr">
        <is>
          <t>ÖSTERGÖTLANDS LÄN</t>
        </is>
      </c>
      <c r="E5182" t="inlineStr">
        <is>
          <t>NORRKÖPING</t>
        </is>
      </c>
      <c r="G5182" t="n">
        <v>0.7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17713-2023</t>
        </is>
      </c>
      <c r="B5183" s="1" t="n">
        <v>45037</v>
      </c>
      <c r="C5183" s="1" t="n">
        <v>45192</v>
      </c>
      <c r="D5183" t="inlineStr">
        <is>
          <t>ÖSTERGÖTLANDS LÄN</t>
        </is>
      </c>
      <c r="E5183" t="inlineStr">
        <is>
          <t>NORRKÖPING</t>
        </is>
      </c>
      <c r="G5183" t="n">
        <v>1.6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17937-2023</t>
        </is>
      </c>
      <c r="B5184" s="1" t="n">
        <v>45040</v>
      </c>
      <c r="C5184" s="1" t="n">
        <v>45192</v>
      </c>
      <c r="D5184" t="inlineStr">
        <is>
          <t>ÖSTERGÖTLANDS LÄN</t>
        </is>
      </c>
      <c r="E5184" t="inlineStr">
        <is>
          <t>VALDEMARSVIK</t>
        </is>
      </c>
      <c r="F5184" t="inlineStr">
        <is>
          <t>Holmen skog AB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17952-2023</t>
        </is>
      </c>
      <c r="B5185" s="1" t="n">
        <v>45040</v>
      </c>
      <c r="C5185" s="1" t="n">
        <v>45192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Naturvårdsverket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18134-2023</t>
        </is>
      </c>
      <c r="B5186" s="1" t="n">
        <v>45040</v>
      </c>
      <c r="C5186" s="1" t="n">
        <v>45192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Holmen skog AB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17960-2023</t>
        </is>
      </c>
      <c r="B5187" s="1" t="n">
        <v>45040</v>
      </c>
      <c r="C5187" s="1" t="n">
        <v>45192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17994-2023</t>
        </is>
      </c>
      <c r="B5188" s="1" t="n">
        <v>45040</v>
      </c>
      <c r="C5188" s="1" t="n">
        <v>45192</v>
      </c>
      <c r="D5188" t="inlineStr">
        <is>
          <t>ÖSTERGÖTLANDS LÄN</t>
        </is>
      </c>
      <c r="E5188" t="inlineStr">
        <is>
          <t>FINSPÅNG</t>
        </is>
      </c>
      <c r="G5188" t="n">
        <v>1.3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17992-2023</t>
        </is>
      </c>
      <c r="B5189" s="1" t="n">
        <v>45040</v>
      </c>
      <c r="C5189" s="1" t="n">
        <v>45192</v>
      </c>
      <c r="D5189" t="inlineStr">
        <is>
          <t>ÖSTERGÖTLANDS LÄN</t>
        </is>
      </c>
      <c r="E5189" t="inlineStr">
        <is>
          <t>FINSPÅNG</t>
        </is>
      </c>
      <c r="G5189" t="n">
        <v>0.5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18018-2023</t>
        </is>
      </c>
      <c r="B5190" s="1" t="n">
        <v>45040</v>
      </c>
      <c r="C5190" s="1" t="n">
        <v>45192</v>
      </c>
      <c r="D5190" t="inlineStr">
        <is>
          <t>ÖSTERGÖTLANDS LÄN</t>
        </is>
      </c>
      <c r="E5190" t="inlineStr">
        <is>
          <t>NORRKÖPING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18225-2023</t>
        </is>
      </c>
      <c r="B5191" s="1" t="n">
        <v>45041</v>
      </c>
      <c r="C5191" s="1" t="n">
        <v>45192</v>
      </c>
      <c r="D5191" t="inlineStr">
        <is>
          <t>ÖSTERGÖTLANDS LÄN</t>
        </is>
      </c>
      <c r="E5191" t="inlineStr">
        <is>
          <t>VALDEMARSVIK</t>
        </is>
      </c>
      <c r="F5191" t="inlineStr">
        <is>
          <t>Holmen skog AB</t>
        </is>
      </c>
      <c r="G5191" t="n">
        <v>0.7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18234-2023</t>
        </is>
      </c>
      <c r="B5192" s="1" t="n">
        <v>45041</v>
      </c>
      <c r="C5192" s="1" t="n">
        <v>45192</v>
      </c>
      <c r="D5192" t="inlineStr">
        <is>
          <t>ÖSTERGÖTLANDS LÄN</t>
        </is>
      </c>
      <c r="E5192" t="inlineStr">
        <is>
          <t>SÖDERKÖPING</t>
        </is>
      </c>
      <c r="G5192" t="n">
        <v>0.9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18295-2023</t>
        </is>
      </c>
      <c r="B5193" s="1" t="n">
        <v>45041</v>
      </c>
      <c r="C5193" s="1" t="n">
        <v>45192</v>
      </c>
      <c r="D5193" t="inlineStr">
        <is>
          <t>ÖSTERGÖTLANDS LÄN</t>
        </is>
      </c>
      <c r="E5193" t="inlineStr">
        <is>
          <t>FINSPÅNG</t>
        </is>
      </c>
      <c r="G5193" t="n">
        <v>0.6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18380-2023</t>
        </is>
      </c>
      <c r="B5194" s="1" t="n">
        <v>45041</v>
      </c>
      <c r="C5194" s="1" t="n">
        <v>45192</v>
      </c>
      <c r="D5194" t="inlineStr">
        <is>
          <t>ÖSTERGÖTLANDS LÄN</t>
        </is>
      </c>
      <c r="E5194" t="inlineStr">
        <is>
          <t>VALDEMARSVIK</t>
        </is>
      </c>
      <c r="F5194" t="inlineStr">
        <is>
          <t>Holmen skog AB</t>
        </is>
      </c>
      <c r="G5194" t="n">
        <v>2.5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18672-2023</t>
        </is>
      </c>
      <c r="B5195" s="1" t="n">
        <v>45041</v>
      </c>
      <c r="C5195" s="1" t="n">
        <v>45192</v>
      </c>
      <c r="D5195" t="inlineStr">
        <is>
          <t>ÖSTERGÖTLANDS LÄN</t>
        </is>
      </c>
      <c r="E5195" t="inlineStr">
        <is>
          <t>MOTALA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18306-2023</t>
        </is>
      </c>
      <c r="B5196" s="1" t="n">
        <v>45041</v>
      </c>
      <c r="C5196" s="1" t="n">
        <v>45192</v>
      </c>
      <c r="D5196" t="inlineStr">
        <is>
          <t>ÖSTERGÖTLANDS LÄN</t>
        </is>
      </c>
      <c r="E5196" t="inlineStr">
        <is>
          <t>FINSPÅNG</t>
        </is>
      </c>
      <c r="F5196" t="inlineStr">
        <is>
          <t>Naturvårdsverket</t>
        </is>
      </c>
      <c r="G5196" t="n">
        <v>0.8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18408-2023</t>
        </is>
      </c>
      <c r="B5197" s="1" t="n">
        <v>45042</v>
      </c>
      <c r="C5197" s="1" t="n">
        <v>45192</v>
      </c>
      <c r="D5197" t="inlineStr">
        <is>
          <t>ÖSTERGÖTLANDS LÄN</t>
        </is>
      </c>
      <c r="E5197" t="inlineStr">
        <is>
          <t>LINKÖPING</t>
        </is>
      </c>
      <c r="G5197" t="n">
        <v>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18469-2023</t>
        </is>
      </c>
      <c r="B5198" s="1" t="n">
        <v>45042</v>
      </c>
      <c r="C5198" s="1" t="n">
        <v>45192</v>
      </c>
      <c r="D5198" t="inlineStr">
        <is>
          <t>ÖSTERGÖTLANDS LÄN</t>
        </is>
      </c>
      <c r="E5198" t="inlineStr">
        <is>
          <t>KINDA</t>
        </is>
      </c>
      <c r="G5198" t="n">
        <v>2.7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18500-2023</t>
        </is>
      </c>
      <c r="B5199" s="1" t="n">
        <v>45042</v>
      </c>
      <c r="C5199" s="1" t="n">
        <v>45192</v>
      </c>
      <c r="D5199" t="inlineStr">
        <is>
          <t>ÖSTERGÖTLANDS LÄN</t>
        </is>
      </c>
      <c r="E5199" t="inlineStr">
        <is>
          <t>NORRKÖPING</t>
        </is>
      </c>
      <c r="F5199" t="inlineStr">
        <is>
          <t>Holmen skog AB</t>
        </is>
      </c>
      <c r="G5199" t="n">
        <v>2.1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18514-2023</t>
        </is>
      </c>
      <c r="B5200" s="1" t="n">
        <v>45042</v>
      </c>
      <c r="C5200" s="1" t="n">
        <v>45192</v>
      </c>
      <c r="D5200" t="inlineStr">
        <is>
          <t>ÖSTERGÖTLANDS LÄN</t>
        </is>
      </c>
      <c r="E5200" t="inlineStr">
        <is>
          <t>NORRKÖPING</t>
        </is>
      </c>
      <c r="G5200" t="n">
        <v>0.8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18481-2023</t>
        </is>
      </c>
      <c r="B5201" s="1" t="n">
        <v>45042</v>
      </c>
      <c r="C5201" s="1" t="n">
        <v>45192</v>
      </c>
      <c r="D5201" t="inlineStr">
        <is>
          <t>ÖSTERGÖTLANDS LÄN</t>
        </is>
      </c>
      <c r="E5201" t="inlineStr">
        <is>
          <t>NORRKÖPING</t>
        </is>
      </c>
      <c r="F5201" t="inlineStr">
        <is>
          <t>Naturvårdsverket</t>
        </is>
      </c>
      <c r="G5201" t="n">
        <v>1.5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18485-2023</t>
        </is>
      </c>
      <c r="B5202" s="1" t="n">
        <v>45042</v>
      </c>
      <c r="C5202" s="1" t="n">
        <v>45192</v>
      </c>
      <c r="D5202" t="inlineStr">
        <is>
          <t>ÖSTERGÖTLANDS LÄN</t>
        </is>
      </c>
      <c r="E5202" t="inlineStr">
        <is>
          <t>ÅTVIDABERG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18495-2023</t>
        </is>
      </c>
      <c r="B5203" s="1" t="n">
        <v>45042</v>
      </c>
      <c r="C5203" s="1" t="n">
        <v>45192</v>
      </c>
      <c r="D5203" t="inlineStr">
        <is>
          <t>ÖSTERGÖTLANDS LÄN</t>
        </is>
      </c>
      <c r="E5203" t="inlineStr">
        <is>
          <t>ÅTVIDABERG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18518-2023</t>
        </is>
      </c>
      <c r="B5204" s="1" t="n">
        <v>45042</v>
      </c>
      <c r="C5204" s="1" t="n">
        <v>45192</v>
      </c>
      <c r="D5204" t="inlineStr">
        <is>
          <t>ÖSTERGÖTLANDS LÄN</t>
        </is>
      </c>
      <c r="E5204" t="inlineStr">
        <is>
          <t>ÅTVIDABERG</t>
        </is>
      </c>
      <c r="G5204" t="n">
        <v>4.6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18445-2023</t>
        </is>
      </c>
      <c r="B5205" s="1" t="n">
        <v>45042</v>
      </c>
      <c r="C5205" s="1" t="n">
        <v>45192</v>
      </c>
      <c r="D5205" t="inlineStr">
        <is>
          <t>ÖSTERGÖTLANDS LÄN</t>
        </is>
      </c>
      <c r="E5205" t="inlineStr">
        <is>
          <t>FINSPÅNG</t>
        </is>
      </c>
      <c r="F5205" t="inlineStr">
        <is>
          <t>Holmen skog AB</t>
        </is>
      </c>
      <c r="G5205" t="n">
        <v>0.7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18492-2023</t>
        </is>
      </c>
      <c r="B5206" s="1" t="n">
        <v>45042</v>
      </c>
      <c r="C5206" s="1" t="n">
        <v>45192</v>
      </c>
      <c r="D5206" t="inlineStr">
        <is>
          <t>ÖSTERGÖTLANDS LÄN</t>
        </is>
      </c>
      <c r="E5206" t="inlineStr">
        <is>
          <t>ÅTVIDABERG</t>
        </is>
      </c>
      <c r="G5206" t="n">
        <v>3.2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18667-2023</t>
        </is>
      </c>
      <c r="B5207" s="1" t="n">
        <v>45043</v>
      </c>
      <c r="C5207" s="1" t="n">
        <v>45192</v>
      </c>
      <c r="D5207" t="inlineStr">
        <is>
          <t>ÖSTERGÖTLANDS LÄN</t>
        </is>
      </c>
      <c r="E5207" t="inlineStr">
        <is>
          <t>NORRKÖPING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18931-2023</t>
        </is>
      </c>
      <c r="B5208" s="1" t="n">
        <v>45043</v>
      </c>
      <c r="C5208" s="1" t="n">
        <v>45192</v>
      </c>
      <c r="D5208" t="inlineStr">
        <is>
          <t>ÖSTERGÖTLANDS LÄN</t>
        </is>
      </c>
      <c r="E5208" t="inlineStr">
        <is>
          <t>LINKÖPING</t>
        </is>
      </c>
      <c r="F5208" t="inlineStr">
        <is>
          <t>Övriga statliga verk och myndigheter</t>
        </is>
      </c>
      <c r="G5208" t="n">
        <v>3.4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18661-2023</t>
        </is>
      </c>
      <c r="B5209" s="1" t="n">
        <v>45043</v>
      </c>
      <c r="C5209" s="1" t="n">
        <v>45192</v>
      </c>
      <c r="D5209" t="inlineStr">
        <is>
          <t>ÖSTERGÖTLANDS LÄN</t>
        </is>
      </c>
      <c r="E5209" t="inlineStr">
        <is>
          <t>NORRKÖPING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18634-2023</t>
        </is>
      </c>
      <c r="B5210" s="1" t="n">
        <v>45043</v>
      </c>
      <c r="C5210" s="1" t="n">
        <v>45192</v>
      </c>
      <c r="D5210" t="inlineStr">
        <is>
          <t>ÖSTERGÖTLANDS LÄN</t>
        </is>
      </c>
      <c r="E5210" t="inlineStr">
        <is>
          <t>NORRKÖPING</t>
        </is>
      </c>
      <c r="G5210" t="n">
        <v>2.3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18664-2023</t>
        </is>
      </c>
      <c r="B5211" s="1" t="n">
        <v>45043</v>
      </c>
      <c r="C5211" s="1" t="n">
        <v>45192</v>
      </c>
      <c r="D5211" t="inlineStr">
        <is>
          <t>ÖSTERGÖTLANDS LÄN</t>
        </is>
      </c>
      <c r="E5211" t="inlineStr">
        <is>
          <t>NORRKÖPING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18686-2023</t>
        </is>
      </c>
      <c r="B5212" s="1" t="n">
        <v>45043</v>
      </c>
      <c r="C5212" s="1" t="n">
        <v>45192</v>
      </c>
      <c r="D5212" t="inlineStr">
        <is>
          <t>ÖSTERGÖTLANDS LÄN</t>
        </is>
      </c>
      <c r="E5212" t="inlineStr">
        <is>
          <t>NORRKÖPING</t>
        </is>
      </c>
      <c r="F5212" t="inlineStr">
        <is>
          <t>Holmen skog AB</t>
        </is>
      </c>
      <c r="G5212" t="n">
        <v>2.7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18746-2023</t>
        </is>
      </c>
      <c r="B5213" s="1" t="n">
        <v>45043</v>
      </c>
      <c r="C5213" s="1" t="n">
        <v>45192</v>
      </c>
      <c r="D5213" t="inlineStr">
        <is>
          <t>ÖSTERGÖTLANDS LÄN</t>
        </is>
      </c>
      <c r="E5213" t="inlineStr">
        <is>
          <t>BOXHOLM</t>
        </is>
      </c>
      <c r="G5213" t="n">
        <v>0.9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18915-2023</t>
        </is>
      </c>
      <c r="B5214" s="1" t="n">
        <v>45043</v>
      </c>
      <c r="C5214" s="1" t="n">
        <v>45192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4.1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18923-2023</t>
        </is>
      </c>
      <c r="B5215" s="1" t="n">
        <v>45043</v>
      </c>
      <c r="C5215" s="1" t="n">
        <v>45192</v>
      </c>
      <c r="D5215" t="inlineStr">
        <is>
          <t>ÖSTERGÖTLANDS LÄN</t>
        </is>
      </c>
      <c r="E5215" t="inlineStr">
        <is>
          <t>MOTALA</t>
        </is>
      </c>
      <c r="F5215" t="inlineStr">
        <is>
          <t>Övriga statliga verk och myndigheter</t>
        </is>
      </c>
      <c r="G5215" t="n">
        <v>1.9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18658-2023</t>
        </is>
      </c>
      <c r="B5216" s="1" t="n">
        <v>45043</v>
      </c>
      <c r="C5216" s="1" t="n">
        <v>45192</v>
      </c>
      <c r="D5216" t="inlineStr">
        <is>
          <t>ÖSTERGÖTLANDS LÄN</t>
        </is>
      </c>
      <c r="E5216" t="inlineStr">
        <is>
          <t>NORRKÖPING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18705-2023</t>
        </is>
      </c>
      <c r="B5217" s="1" t="n">
        <v>45043</v>
      </c>
      <c r="C5217" s="1" t="n">
        <v>45192</v>
      </c>
      <c r="D5217" t="inlineStr">
        <is>
          <t>ÖSTERGÖTLANDS LÄN</t>
        </is>
      </c>
      <c r="E5217" t="inlineStr">
        <is>
          <t>NORRKÖPING</t>
        </is>
      </c>
      <c r="F5217" t="inlineStr">
        <is>
          <t>Holmen skog AB</t>
        </is>
      </c>
      <c r="G5217" t="n">
        <v>8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18758-2023</t>
        </is>
      </c>
      <c r="B5218" s="1" t="n">
        <v>45043</v>
      </c>
      <c r="C5218" s="1" t="n">
        <v>45192</v>
      </c>
      <c r="D5218" t="inlineStr">
        <is>
          <t>ÖSTERGÖTLANDS LÄN</t>
        </is>
      </c>
      <c r="E5218" t="inlineStr">
        <is>
          <t>VALDEMARSVIK</t>
        </is>
      </c>
      <c r="G5218" t="n">
        <v>2.9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18920-2023</t>
        </is>
      </c>
      <c r="B5219" s="1" t="n">
        <v>45043</v>
      </c>
      <c r="C5219" s="1" t="n">
        <v>45192</v>
      </c>
      <c r="D5219" t="inlineStr">
        <is>
          <t>ÖSTERGÖTLANDS LÄN</t>
        </is>
      </c>
      <c r="E5219" t="inlineStr">
        <is>
          <t>LINKÖPING</t>
        </is>
      </c>
      <c r="F5219" t="inlineStr">
        <is>
          <t>Övriga statliga verk och myndigheter</t>
        </is>
      </c>
      <c r="G5219" t="n">
        <v>0.7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18888-2023</t>
        </is>
      </c>
      <c r="B5220" s="1" t="n">
        <v>45044</v>
      </c>
      <c r="C5220" s="1" t="n">
        <v>45192</v>
      </c>
      <c r="D5220" t="inlineStr">
        <is>
          <t>ÖSTERGÖTLANDS LÄN</t>
        </is>
      </c>
      <c r="E5220" t="inlineStr">
        <is>
          <t>LINKÖPING</t>
        </is>
      </c>
      <c r="G5220" t="n">
        <v>2.4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18949-2023</t>
        </is>
      </c>
      <c r="B5221" s="1" t="n">
        <v>45044</v>
      </c>
      <c r="C5221" s="1" t="n">
        <v>45192</v>
      </c>
      <c r="D5221" t="inlineStr">
        <is>
          <t>ÖSTERGÖTLANDS LÄN</t>
        </is>
      </c>
      <c r="E5221" t="inlineStr">
        <is>
          <t>NORRKÖPING</t>
        </is>
      </c>
      <c r="G5221" t="n">
        <v>0.8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19169-2023</t>
        </is>
      </c>
      <c r="B5222" s="1" t="n">
        <v>45044</v>
      </c>
      <c r="C5222" s="1" t="n">
        <v>45192</v>
      </c>
      <c r="D5222" t="inlineStr">
        <is>
          <t>ÖSTERGÖTLANDS LÄN</t>
        </is>
      </c>
      <c r="E5222" t="inlineStr">
        <is>
          <t>LINKÖPING</t>
        </is>
      </c>
      <c r="G5222" t="n">
        <v>2.7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19030-2023</t>
        </is>
      </c>
      <c r="B5223" s="1" t="n">
        <v>45047</v>
      </c>
      <c r="C5223" s="1" t="n">
        <v>45192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19036-2023</t>
        </is>
      </c>
      <c r="B5224" s="1" t="n">
        <v>45047</v>
      </c>
      <c r="C5224" s="1" t="n">
        <v>45192</v>
      </c>
      <c r="D5224" t="inlineStr">
        <is>
          <t>ÖSTERGÖTLANDS LÄN</t>
        </is>
      </c>
      <c r="E5224" t="inlineStr">
        <is>
          <t>ÅTVIDABERG</t>
        </is>
      </c>
      <c r="G5224" t="n">
        <v>2.1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19113-2023</t>
        </is>
      </c>
      <c r="B5225" s="1" t="n">
        <v>45048</v>
      </c>
      <c r="C5225" s="1" t="n">
        <v>45192</v>
      </c>
      <c r="D5225" t="inlineStr">
        <is>
          <t>ÖSTERGÖTLANDS LÄN</t>
        </is>
      </c>
      <c r="E5225" t="inlineStr">
        <is>
          <t>NORRKÖPING</t>
        </is>
      </c>
      <c r="F5225" t="inlineStr">
        <is>
          <t>Holmen skog AB</t>
        </is>
      </c>
      <c r="G5225" t="n">
        <v>2.6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19152-2023</t>
        </is>
      </c>
      <c r="B5226" s="1" t="n">
        <v>45048</v>
      </c>
      <c r="C5226" s="1" t="n">
        <v>45192</v>
      </c>
      <c r="D5226" t="inlineStr">
        <is>
          <t>ÖSTERGÖTLANDS LÄN</t>
        </is>
      </c>
      <c r="E5226" t="inlineStr">
        <is>
          <t>ÖDESHÖG</t>
        </is>
      </c>
      <c r="G5226" t="n">
        <v>4.7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19324-2023</t>
        </is>
      </c>
      <c r="B5227" s="1" t="n">
        <v>45048</v>
      </c>
      <c r="C5227" s="1" t="n">
        <v>45192</v>
      </c>
      <c r="D5227" t="inlineStr">
        <is>
          <t>ÖSTERGÖTLANDS LÄN</t>
        </is>
      </c>
      <c r="E5227" t="inlineStr">
        <is>
          <t>LINKÖPING</t>
        </is>
      </c>
      <c r="F5227" t="inlineStr">
        <is>
          <t>Övriga statliga verk och myndigheter</t>
        </is>
      </c>
      <c r="G5227" t="n">
        <v>2.3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19114-2023</t>
        </is>
      </c>
      <c r="B5228" s="1" t="n">
        <v>45048</v>
      </c>
      <c r="C5228" s="1" t="n">
        <v>45192</v>
      </c>
      <c r="D5228" t="inlineStr">
        <is>
          <t>ÖSTERGÖTLANDS LÄN</t>
        </is>
      </c>
      <c r="E5228" t="inlineStr">
        <is>
          <t>NORRKÖPING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19296-2023</t>
        </is>
      </c>
      <c r="B5229" s="1" t="n">
        <v>45048</v>
      </c>
      <c r="C5229" s="1" t="n">
        <v>45192</v>
      </c>
      <c r="D5229" t="inlineStr">
        <is>
          <t>ÖSTERGÖTLANDS LÄN</t>
        </is>
      </c>
      <c r="E5229" t="inlineStr">
        <is>
          <t>KINDA</t>
        </is>
      </c>
      <c r="G5229" t="n">
        <v>1.5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19371-2023</t>
        </is>
      </c>
      <c r="B5230" s="1" t="n">
        <v>45048</v>
      </c>
      <c r="C5230" s="1" t="n">
        <v>45192</v>
      </c>
      <c r="D5230" t="inlineStr">
        <is>
          <t>ÖSTERGÖTLANDS LÄN</t>
        </is>
      </c>
      <c r="E5230" t="inlineStr">
        <is>
          <t>LINKÖPING</t>
        </is>
      </c>
      <c r="F5230" t="inlineStr">
        <is>
          <t>Övriga statliga verk och myndigheter</t>
        </is>
      </c>
      <c r="G5230" t="n">
        <v>3.8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19208-2023</t>
        </is>
      </c>
      <c r="B5231" s="1" t="n">
        <v>45048</v>
      </c>
      <c r="C5231" s="1" t="n">
        <v>45192</v>
      </c>
      <c r="D5231" t="inlineStr">
        <is>
          <t>ÖSTERGÖTLANDS LÄN</t>
        </is>
      </c>
      <c r="E5231" t="inlineStr">
        <is>
          <t>YDRE</t>
        </is>
      </c>
      <c r="G5231" t="n">
        <v>1.3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19085-2023</t>
        </is>
      </c>
      <c r="B5232" s="1" t="n">
        <v>45048</v>
      </c>
      <c r="C5232" s="1" t="n">
        <v>45192</v>
      </c>
      <c r="D5232" t="inlineStr">
        <is>
          <t>ÖSTERGÖTLANDS LÄN</t>
        </is>
      </c>
      <c r="E5232" t="inlineStr">
        <is>
          <t>ÖDESHÖG</t>
        </is>
      </c>
      <c r="G5232" t="n">
        <v>3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19209-2023</t>
        </is>
      </c>
      <c r="B5233" s="1" t="n">
        <v>45048</v>
      </c>
      <c r="C5233" s="1" t="n">
        <v>45192</v>
      </c>
      <c r="D5233" t="inlineStr">
        <is>
          <t>ÖSTERGÖTLANDS LÄN</t>
        </is>
      </c>
      <c r="E5233" t="inlineStr">
        <is>
          <t>YDRE</t>
        </is>
      </c>
      <c r="G5233" t="n">
        <v>0.6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19262-2023</t>
        </is>
      </c>
      <c r="B5234" s="1" t="n">
        <v>45049</v>
      </c>
      <c r="C5234" s="1" t="n">
        <v>45192</v>
      </c>
      <c r="D5234" t="inlineStr">
        <is>
          <t>ÖSTERGÖTLANDS LÄN</t>
        </is>
      </c>
      <c r="E5234" t="inlineStr">
        <is>
          <t>NORRKÖPING</t>
        </is>
      </c>
      <c r="G5234" t="n">
        <v>4.1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19334-2023</t>
        </is>
      </c>
      <c r="B5235" s="1" t="n">
        <v>45049</v>
      </c>
      <c r="C5235" s="1" t="n">
        <v>45192</v>
      </c>
      <c r="D5235" t="inlineStr">
        <is>
          <t>ÖSTERGÖTLANDS LÄN</t>
        </is>
      </c>
      <c r="E5235" t="inlineStr">
        <is>
          <t>NORRKÖPING</t>
        </is>
      </c>
      <c r="G5235" t="n">
        <v>0.8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19545-2023</t>
        </is>
      </c>
      <c r="B5236" s="1" t="n">
        <v>45049</v>
      </c>
      <c r="C5236" s="1" t="n">
        <v>45192</v>
      </c>
      <c r="D5236" t="inlineStr">
        <is>
          <t>ÖSTERGÖTLANDS LÄN</t>
        </is>
      </c>
      <c r="E5236" t="inlineStr">
        <is>
          <t>KINDA</t>
        </is>
      </c>
      <c r="G5236" t="n">
        <v>2.6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19362-2023</t>
        </is>
      </c>
      <c r="B5237" s="1" t="n">
        <v>45049</v>
      </c>
      <c r="C5237" s="1" t="n">
        <v>45192</v>
      </c>
      <c r="D5237" t="inlineStr">
        <is>
          <t>ÖSTERGÖTLANDS LÄN</t>
        </is>
      </c>
      <c r="E5237" t="inlineStr">
        <is>
          <t>LINKÖPING</t>
        </is>
      </c>
      <c r="G5237" t="n">
        <v>0.1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19381-2023</t>
        </is>
      </c>
      <c r="B5238" s="1" t="n">
        <v>45049</v>
      </c>
      <c r="C5238" s="1" t="n">
        <v>45192</v>
      </c>
      <c r="D5238" t="inlineStr">
        <is>
          <t>ÖSTERGÖTLANDS LÄN</t>
        </is>
      </c>
      <c r="E5238" t="inlineStr">
        <is>
          <t>ÅTVIDABERG</t>
        </is>
      </c>
      <c r="G5238" t="n">
        <v>2.1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19335-2023</t>
        </is>
      </c>
      <c r="B5239" s="1" t="n">
        <v>45049</v>
      </c>
      <c r="C5239" s="1" t="n">
        <v>45192</v>
      </c>
      <c r="D5239" t="inlineStr">
        <is>
          <t>ÖSTERGÖTLANDS LÄN</t>
        </is>
      </c>
      <c r="E5239" t="inlineStr">
        <is>
          <t>NORRKÖPING</t>
        </is>
      </c>
      <c r="G5239" t="n">
        <v>1.3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19350-2023</t>
        </is>
      </c>
      <c r="B5240" s="1" t="n">
        <v>45049</v>
      </c>
      <c r="C5240" s="1" t="n">
        <v>45192</v>
      </c>
      <c r="D5240" t="inlineStr">
        <is>
          <t>ÖSTERGÖTLANDS LÄN</t>
        </is>
      </c>
      <c r="E5240" t="inlineStr">
        <is>
          <t>ÖDESHÖG</t>
        </is>
      </c>
      <c r="G5240" t="n">
        <v>1.9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19733-2023</t>
        </is>
      </c>
      <c r="B5241" s="1" t="n">
        <v>45051</v>
      </c>
      <c r="C5241" s="1" t="n">
        <v>45192</v>
      </c>
      <c r="D5241" t="inlineStr">
        <is>
          <t>ÖSTERGÖTLANDS LÄN</t>
        </is>
      </c>
      <c r="E5241" t="inlineStr">
        <is>
          <t>FINSPÅNG</t>
        </is>
      </c>
      <c r="F5241" t="inlineStr">
        <is>
          <t>Holmen skog AB</t>
        </is>
      </c>
      <c r="G5241" t="n">
        <v>0.7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19807-2023</t>
        </is>
      </c>
      <c r="B5242" s="1" t="n">
        <v>45051</v>
      </c>
      <c r="C5242" s="1" t="n">
        <v>45192</v>
      </c>
      <c r="D5242" t="inlineStr">
        <is>
          <t>ÖSTERGÖTLANDS LÄN</t>
        </is>
      </c>
      <c r="E5242" t="inlineStr">
        <is>
          <t>FINSPÅNG</t>
        </is>
      </c>
      <c r="G5242" t="n">
        <v>1.4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19982-2023</t>
        </is>
      </c>
      <c r="B5243" s="1" t="n">
        <v>45054</v>
      </c>
      <c r="C5243" s="1" t="n">
        <v>45192</v>
      </c>
      <c r="D5243" t="inlineStr">
        <is>
          <t>ÖSTERGÖTLANDS LÄN</t>
        </is>
      </c>
      <c r="E5243" t="inlineStr">
        <is>
          <t>NORRKÖPING</t>
        </is>
      </c>
      <c r="F5243" t="inlineStr">
        <is>
          <t>Holmen skog AB</t>
        </is>
      </c>
      <c r="G5243" t="n">
        <v>0.6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20223-2023</t>
        </is>
      </c>
      <c r="B5244" s="1" t="n">
        <v>45055</v>
      </c>
      <c r="C5244" s="1" t="n">
        <v>45192</v>
      </c>
      <c r="D5244" t="inlineStr">
        <is>
          <t>ÖSTERGÖTLANDS LÄN</t>
        </is>
      </c>
      <c r="E5244" t="inlineStr">
        <is>
          <t>SÖDERKÖPING</t>
        </is>
      </c>
      <c r="G5244" t="n">
        <v>2.3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20252-2023</t>
        </is>
      </c>
      <c r="B5245" s="1" t="n">
        <v>45055</v>
      </c>
      <c r="C5245" s="1" t="n">
        <v>45192</v>
      </c>
      <c r="D5245" t="inlineStr">
        <is>
          <t>ÖSTERGÖTLANDS LÄN</t>
        </is>
      </c>
      <c r="E5245" t="inlineStr">
        <is>
          <t>SÖDERKÖPING</t>
        </is>
      </c>
      <c r="G5245" t="n">
        <v>1.1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20157-2023</t>
        </is>
      </c>
      <c r="B5246" s="1" t="n">
        <v>45055</v>
      </c>
      <c r="C5246" s="1" t="n">
        <v>45192</v>
      </c>
      <c r="D5246" t="inlineStr">
        <is>
          <t>ÖSTERGÖTLANDS LÄN</t>
        </is>
      </c>
      <c r="E5246" t="inlineStr">
        <is>
          <t>FINSPÅNG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20221-2023</t>
        </is>
      </c>
      <c r="B5247" s="1" t="n">
        <v>45055</v>
      </c>
      <c r="C5247" s="1" t="n">
        <v>45192</v>
      </c>
      <c r="D5247" t="inlineStr">
        <is>
          <t>ÖSTERGÖTLANDS LÄN</t>
        </is>
      </c>
      <c r="E5247" t="inlineStr">
        <is>
          <t>SÖDERKÖPING</t>
        </is>
      </c>
      <c r="G5247" t="n">
        <v>2.8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20254-2023</t>
        </is>
      </c>
      <c r="B5248" s="1" t="n">
        <v>45055</v>
      </c>
      <c r="C5248" s="1" t="n">
        <v>45192</v>
      </c>
      <c r="D5248" t="inlineStr">
        <is>
          <t>ÖSTERGÖTLANDS LÄN</t>
        </is>
      </c>
      <c r="E5248" t="inlineStr">
        <is>
          <t>SÖDERKÖPING</t>
        </is>
      </c>
      <c r="G5248" t="n">
        <v>1.3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20734-2023</t>
        </is>
      </c>
      <c r="B5249" s="1" t="n">
        <v>45055</v>
      </c>
      <c r="C5249" s="1" t="n">
        <v>45192</v>
      </c>
      <c r="D5249" t="inlineStr">
        <is>
          <t>ÖSTERGÖTLANDS LÄN</t>
        </is>
      </c>
      <c r="E5249" t="inlineStr">
        <is>
          <t>LINKÖPING</t>
        </is>
      </c>
      <c r="F5249" t="inlineStr">
        <is>
          <t>Övriga statliga verk och myndigheter</t>
        </is>
      </c>
      <c r="G5249" t="n">
        <v>2.3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20251-2023</t>
        </is>
      </c>
      <c r="B5250" s="1" t="n">
        <v>45055</v>
      </c>
      <c r="C5250" s="1" t="n">
        <v>45192</v>
      </c>
      <c r="D5250" t="inlineStr">
        <is>
          <t>ÖSTERGÖTLANDS LÄN</t>
        </is>
      </c>
      <c r="E5250" t="inlineStr">
        <is>
          <t>SÖDERKÖPING</t>
        </is>
      </c>
      <c r="G5250" t="n">
        <v>0.5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20253-2023</t>
        </is>
      </c>
      <c r="B5251" s="1" t="n">
        <v>45055</v>
      </c>
      <c r="C5251" s="1" t="n">
        <v>45192</v>
      </c>
      <c r="D5251" t="inlineStr">
        <is>
          <t>ÖSTERGÖTLANDS LÄN</t>
        </is>
      </c>
      <c r="E5251" t="inlineStr">
        <is>
          <t>SÖDERKÖPING</t>
        </is>
      </c>
      <c r="G5251" t="n">
        <v>0.8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20318-2023</t>
        </is>
      </c>
      <c r="B5252" s="1" t="n">
        <v>45056</v>
      </c>
      <c r="C5252" s="1" t="n">
        <v>45192</v>
      </c>
      <c r="D5252" t="inlineStr">
        <is>
          <t>ÖSTERGÖTLANDS LÄN</t>
        </is>
      </c>
      <c r="E5252" t="inlineStr">
        <is>
          <t>LINKÖPING</t>
        </is>
      </c>
      <c r="F5252" t="inlineStr">
        <is>
          <t>Allmännings- och besparingsskogar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20376-2023</t>
        </is>
      </c>
      <c r="B5253" s="1" t="n">
        <v>45056</v>
      </c>
      <c r="C5253" s="1" t="n">
        <v>45192</v>
      </c>
      <c r="D5253" t="inlineStr">
        <is>
          <t>ÖSTERGÖTLANDS LÄN</t>
        </is>
      </c>
      <c r="E5253" t="inlineStr">
        <is>
          <t>NORRKÖPING</t>
        </is>
      </c>
      <c r="G5253" t="n">
        <v>0.5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20365-2023</t>
        </is>
      </c>
      <c r="B5254" s="1" t="n">
        <v>45056</v>
      </c>
      <c r="C5254" s="1" t="n">
        <v>45192</v>
      </c>
      <c r="D5254" t="inlineStr">
        <is>
          <t>ÖSTERGÖTLANDS LÄN</t>
        </is>
      </c>
      <c r="E5254" t="inlineStr">
        <is>
          <t>SÖDERKÖPING</t>
        </is>
      </c>
      <c r="G5254" t="n">
        <v>0.8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20371-2023</t>
        </is>
      </c>
      <c r="B5255" s="1" t="n">
        <v>45056</v>
      </c>
      <c r="C5255" s="1" t="n">
        <v>45192</v>
      </c>
      <c r="D5255" t="inlineStr">
        <is>
          <t>ÖSTERGÖTLANDS LÄN</t>
        </is>
      </c>
      <c r="E5255" t="inlineStr">
        <is>
          <t>SÖDERKÖPING</t>
        </is>
      </c>
      <c r="G5255" t="n">
        <v>2.4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20435-2023</t>
        </is>
      </c>
      <c r="B5256" s="1" t="n">
        <v>45056</v>
      </c>
      <c r="C5256" s="1" t="n">
        <v>45192</v>
      </c>
      <c r="D5256" t="inlineStr">
        <is>
          <t>ÖSTERGÖTLANDS LÄN</t>
        </is>
      </c>
      <c r="E5256" t="inlineStr">
        <is>
          <t>MJÖLBY</t>
        </is>
      </c>
      <c r="G5256" t="n">
        <v>3.7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20334-2023</t>
        </is>
      </c>
      <c r="B5257" s="1" t="n">
        <v>45056</v>
      </c>
      <c r="C5257" s="1" t="n">
        <v>45192</v>
      </c>
      <c r="D5257" t="inlineStr">
        <is>
          <t>ÖSTERGÖTLANDS LÄN</t>
        </is>
      </c>
      <c r="E5257" t="inlineStr">
        <is>
          <t>KINDA</t>
        </is>
      </c>
      <c r="G5257" t="n">
        <v>0.9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20374-2023</t>
        </is>
      </c>
      <c r="B5258" s="1" t="n">
        <v>45056</v>
      </c>
      <c r="C5258" s="1" t="n">
        <v>45192</v>
      </c>
      <c r="D5258" t="inlineStr">
        <is>
          <t>ÖSTERGÖTLANDS LÄN</t>
        </is>
      </c>
      <c r="E5258" t="inlineStr">
        <is>
          <t>NORRKÖPING</t>
        </is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20428-2023</t>
        </is>
      </c>
      <c r="B5259" s="1" t="n">
        <v>45056</v>
      </c>
      <c r="C5259" s="1" t="n">
        <v>45192</v>
      </c>
      <c r="D5259" t="inlineStr">
        <is>
          <t>ÖSTERGÖTLANDS LÄN</t>
        </is>
      </c>
      <c r="E5259" t="inlineStr">
        <is>
          <t>NORRKÖPING</t>
        </is>
      </c>
      <c r="F5259" t="inlineStr">
        <is>
          <t>Allmännings- och besparingsskogar</t>
        </is>
      </c>
      <c r="G5259" t="n">
        <v>0.8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20372-2023</t>
        </is>
      </c>
      <c r="B5260" s="1" t="n">
        <v>45056</v>
      </c>
      <c r="C5260" s="1" t="n">
        <v>45192</v>
      </c>
      <c r="D5260" t="inlineStr">
        <is>
          <t>ÖSTERGÖTLANDS LÄN</t>
        </is>
      </c>
      <c r="E5260" t="inlineStr">
        <is>
          <t>ÅTVIDABERG</t>
        </is>
      </c>
      <c r="G5260" t="n">
        <v>0.6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20464-2023</t>
        </is>
      </c>
      <c r="B5261" s="1" t="n">
        <v>45057</v>
      </c>
      <c r="C5261" s="1" t="n">
        <v>45192</v>
      </c>
      <c r="D5261" t="inlineStr">
        <is>
          <t>ÖSTERGÖTLANDS LÄN</t>
        </is>
      </c>
      <c r="E5261" t="inlineStr">
        <is>
          <t>FINSPÅNG</t>
        </is>
      </c>
      <c r="G5261" t="n">
        <v>1.1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21241-2023</t>
        </is>
      </c>
      <c r="B5262" s="1" t="n">
        <v>45057</v>
      </c>
      <c r="C5262" s="1" t="n">
        <v>45192</v>
      </c>
      <c r="D5262" t="inlineStr">
        <is>
          <t>ÖSTERGÖTLANDS LÄN</t>
        </is>
      </c>
      <c r="E5262" t="inlineStr">
        <is>
          <t>ÅTVIDABERG</t>
        </is>
      </c>
      <c r="G5262" t="n">
        <v>1.5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20783-2023</t>
        </is>
      </c>
      <c r="B5263" s="1" t="n">
        <v>45058</v>
      </c>
      <c r="C5263" s="1" t="n">
        <v>45192</v>
      </c>
      <c r="D5263" t="inlineStr">
        <is>
          <t>ÖSTERGÖTLANDS LÄN</t>
        </is>
      </c>
      <c r="E5263" t="inlineStr">
        <is>
          <t>SÖDERKÖPING</t>
        </is>
      </c>
      <c r="G5263" t="n">
        <v>1.2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20811-2023</t>
        </is>
      </c>
      <c r="B5264" s="1" t="n">
        <v>45058</v>
      </c>
      <c r="C5264" s="1" t="n">
        <v>45192</v>
      </c>
      <c r="D5264" t="inlineStr">
        <is>
          <t>ÖSTERGÖTLANDS LÄN</t>
        </is>
      </c>
      <c r="E5264" t="inlineStr">
        <is>
          <t>NORRKÖPING</t>
        </is>
      </c>
      <c r="F5264" t="inlineStr">
        <is>
          <t>Holmen skog AB</t>
        </is>
      </c>
      <c r="G5264" t="n">
        <v>0.7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21465-2023</t>
        </is>
      </c>
      <c r="B5265" s="1" t="n">
        <v>45058</v>
      </c>
      <c r="C5265" s="1" t="n">
        <v>45192</v>
      </c>
      <c r="D5265" t="inlineStr">
        <is>
          <t>ÖSTERGÖTLANDS LÄN</t>
        </is>
      </c>
      <c r="E5265" t="inlineStr">
        <is>
          <t>ÅTVIDABERG</t>
        </is>
      </c>
      <c r="G5265" t="n">
        <v>4.6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20641-2023</t>
        </is>
      </c>
      <c r="B5266" s="1" t="n">
        <v>45058</v>
      </c>
      <c r="C5266" s="1" t="n">
        <v>45192</v>
      </c>
      <c r="D5266" t="inlineStr">
        <is>
          <t>ÖSTERGÖTLANDS LÄN</t>
        </is>
      </c>
      <c r="E5266" t="inlineStr">
        <is>
          <t>FINSPÅNG</t>
        </is>
      </c>
      <c r="G5266" t="n">
        <v>2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20794-2023</t>
        </is>
      </c>
      <c r="B5267" s="1" t="n">
        <v>45058</v>
      </c>
      <c r="C5267" s="1" t="n">
        <v>45192</v>
      </c>
      <c r="D5267" t="inlineStr">
        <is>
          <t>ÖSTERGÖTLANDS LÄN</t>
        </is>
      </c>
      <c r="E5267" t="inlineStr">
        <is>
          <t>VALDEMARSVIK</t>
        </is>
      </c>
      <c r="G5267" t="n">
        <v>9.199999999999999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21440-2023</t>
        </is>
      </c>
      <c r="B5268" s="1" t="n">
        <v>45058</v>
      </c>
      <c r="C5268" s="1" t="n">
        <v>45192</v>
      </c>
      <c r="D5268" t="inlineStr">
        <is>
          <t>ÖSTERGÖTLANDS LÄN</t>
        </is>
      </c>
      <c r="E5268" t="inlineStr">
        <is>
          <t>ÅTVIDABERG</t>
        </is>
      </c>
      <c r="G5268" t="n">
        <v>8.699999999999999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20640-2023</t>
        </is>
      </c>
      <c r="B5269" s="1" t="n">
        <v>45058</v>
      </c>
      <c r="C5269" s="1" t="n">
        <v>45192</v>
      </c>
      <c r="D5269" t="inlineStr">
        <is>
          <t>ÖSTERGÖTLANDS LÄN</t>
        </is>
      </c>
      <c r="E5269" t="inlineStr">
        <is>
          <t>FINSPÅNG</t>
        </is>
      </c>
      <c r="G5269" t="n">
        <v>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20668-2023</t>
        </is>
      </c>
      <c r="B5270" s="1" t="n">
        <v>45058</v>
      </c>
      <c r="C5270" s="1" t="n">
        <v>45192</v>
      </c>
      <c r="D5270" t="inlineStr">
        <is>
          <t>ÖSTERGÖTLANDS LÄN</t>
        </is>
      </c>
      <c r="E5270" t="inlineStr">
        <is>
          <t>NORRKÖPING</t>
        </is>
      </c>
      <c r="F5270" t="inlineStr">
        <is>
          <t>Holmen skog AB</t>
        </is>
      </c>
      <c r="G5270" t="n">
        <v>3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21406-2023</t>
        </is>
      </c>
      <c r="B5271" s="1" t="n">
        <v>45058</v>
      </c>
      <c r="C5271" s="1" t="n">
        <v>45192</v>
      </c>
      <c r="D5271" t="inlineStr">
        <is>
          <t>ÖSTERGÖTLANDS LÄN</t>
        </is>
      </c>
      <c r="E5271" t="inlineStr">
        <is>
          <t>ÅTVIDABERG</t>
        </is>
      </c>
      <c r="G5271" t="n">
        <v>1.7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21414-2023</t>
        </is>
      </c>
      <c r="B5272" s="1" t="n">
        <v>45058</v>
      </c>
      <c r="C5272" s="1" t="n">
        <v>45192</v>
      </c>
      <c r="D5272" t="inlineStr">
        <is>
          <t>ÖSTERGÖTLANDS LÄN</t>
        </is>
      </c>
      <c r="E5272" t="inlineStr">
        <is>
          <t>ÅTVIDABERG</t>
        </is>
      </c>
      <c r="G5272" t="n">
        <v>5.6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20962-2023</t>
        </is>
      </c>
      <c r="B5273" s="1" t="n">
        <v>45061</v>
      </c>
      <c r="C5273" s="1" t="n">
        <v>45192</v>
      </c>
      <c r="D5273" t="inlineStr">
        <is>
          <t>ÖSTERGÖTLANDS LÄN</t>
        </is>
      </c>
      <c r="E5273" t="inlineStr">
        <is>
          <t>SÖDERKÖPING</t>
        </is>
      </c>
      <c r="G5273" t="n">
        <v>1.9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20970-2023</t>
        </is>
      </c>
      <c r="B5274" s="1" t="n">
        <v>45061</v>
      </c>
      <c r="C5274" s="1" t="n">
        <v>45192</v>
      </c>
      <c r="D5274" t="inlineStr">
        <is>
          <t>ÖSTERGÖTLANDS LÄN</t>
        </is>
      </c>
      <c r="E5274" t="inlineStr">
        <is>
          <t>SÖDERKÖPING</t>
        </is>
      </c>
      <c r="G5274" t="n">
        <v>0.7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20965-2023</t>
        </is>
      </c>
      <c r="B5275" s="1" t="n">
        <v>45061</v>
      </c>
      <c r="C5275" s="1" t="n">
        <v>45192</v>
      </c>
      <c r="D5275" t="inlineStr">
        <is>
          <t>ÖSTERGÖTLANDS LÄN</t>
        </is>
      </c>
      <c r="E5275" t="inlineStr">
        <is>
          <t>SÖDERKÖPING</t>
        </is>
      </c>
      <c r="G5275" t="n">
        <v>1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20967-2023</t>
        </is>
      </c>
      <c r="B5276" s="1" t="n">
        <v>45061</v>
      </c>
      <c r="C5276" s="1" t="n">
        <v>45192</v>
      </c>
      <c r="D5276" t="inlineStr">
        <is>
          <t>ÖSTERGÖTLANDS LÄN</t>
        </is>
      </c>
      <c r="E5276" t="inlineStr">
        <is>
          <t>SÖDERKÖPING</t>
        </is>
      </c>
      <c r="G5276" t="n">
        <v>1.3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21021-2023</t>
        </is>
      </c>
      <c r="B5277" s="1" t="n">
        <v>45061</v>
      </c>
      <c r="C5277" s="1" t="n">
        <v>45192</v>
      </c>
      <c r="D5277" t="inlineStr">
        <is>
          <t>ÖSTERGÖTLANDS LÄN</t>
        </is>
      </c>
      <c r="E5277" t="inlineStr">
        <is>
          <t>ÅTVIDABERG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21527-2023</t>
        </is>
      </c>
      <c r="B5278" s="1" t="n">
        <v>45061</v>
      </c>
      <c r="C5278" s="1" t="n">
        <v>45192</v>
      </c>
      <c r="D5278" t="inlineStr">
        <is>
          <t>ÖSTERGÖTLANDS LÄN</t>
        </is>
      </c>
      <c r="E5278" t="inlineStr">
        <is>
          <t>MOTALA</t>
        </is>
      </c>
      <c r="G5278" t="n">
        <v>2.3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21151-2023</t>
        </is>
      </c>
      <c r="B5279" s="1" t="n">
        <v>45062</v>
      </c>
      <c r="C5279" s="1" t="n">
        <v>45192</v>
      </c>
      <c r="D5279" t="inlineStr">
        <is>
          <t>ÖSTERGÖTLANDS LÄN</t>
        </is>
      </c>
      <c r="E5279" t="inlineStr">
        <is>
          <t>BOXHOLM</t>
        </is>
      </c>
      <c r="G5279" t="n">
        <v>1.8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21635-2023</t>
        </is>
      </c>
      <c r="B5280" s="1" t="n">
        <v>45062</v>
      </c>
      <c r="C5280" s="1" t="n">
        <v>45192</v>
      </c>
      <c r="D5280" t="inlineStr">
        <is>
          <t>ÖSTERGÖTLANDS LÄN</t>
        </is>
      </c>
      <c r="E5280" t="inlineStr">
        <is>
          <t>BOXHOLM</t>
        </is>
      </c>
      <c r="G5280" t="n">
        <v>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21233-2023</t>
        </is>
      </c>
      <c r="B5281" s="1" t="n">
        <v>45062</v>
      </c>
      <c r="C5281" s="1" t="n">
        <v>45192</v>
      </c>
      <c r="D5281" t="inlineStr">
        <is>
          <t>ÖSTERGÖTLANDS LÄN</t>
        </is>
      </c>
      <c r="E5281" t="inlineStr">
        <is>
          <t>VALDEMARSVIK</t>
        </is>
      </c>
      <c r="G5281" t="n">
        <v>3.3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21699-2023</t>
        </is>
      </c>
      <c r="B5282" s="1" t="n">
        <v>45062</v>
      </c>
      <c r="C5282" s="1" t="n">
        <v>45192</v>
      </c>
      <c r="D5282" t="inlineStr">
        <is>
          <t>ÖSTERGÖTLANDS LÄN</t>
        </is>
      </c>
      <c r="E5282" t="inlineStr">
        <is>
          <t>KINDA</t>
        </is>
      </c>
      <c r="G5282" t="n">
        <v>1.6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21294-2023</t>
        </is>
      </c>
      <c r="B5283" s="1" t="n">
        <v>45062</v>
      </c>
      <c r="C5283" s="1" t="n">
        <v>45192</v>
      </c>
      <c r="D5283" t="inlineStr">
        <is>
          <t>ÖSTERGÖTLANDS LÄN</t>
        </is>
      </c>
      <c r="E5283" t="inlineStr">
        <is>
          <t>KINDA</t>
        </is>
      </c>
      <c r="G5283" t="n">
        <v>2.2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21634-2023</t>
        </is>
      </c>
      <c r="B5284" s="1" t="n">
        <v>45062</v>
      </c>
      <c r="C5284" s="1" t="n">
        <v>45192</v>
      </c>
      <c r="D5284" t="inlineStr">
        <is>
          <t>ÖSTERGÖTLANDS LÄN</t>
        </is>
      </c>
      <c r="E5284" t="inlineStr">
        <is>
          <t>BOXHOLM</t>
        </is>
      </c>
      <c r="G5284" t="n">
        <v>0.7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21235-2023</t>
        </is>
      </c>
      <c r="B5285" s="1" t="n">
        <v>45062</v>
      </c>
      <c r="C5285" s="1" t="n">
        <v>45192</v>
      </c>
      <c r="D5285" t="inlineStr">
        <is>
          <t>ÖSTERGÖTLANDS LÄN</t>
        </is>
      </c>
      <c r="E5285" t="inlineStr">
        <is>
          <t>VALDEMARSVIK</t>
        </is>
      </c>
      <c r="G5285" t="n">
        <v>1.2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21700-2023</t>
        </is>
      </c>
      <c r="B5286" s="1" t="n">
        <v>45062</v>
      </c>
      <c r="C5286" s="1" t="n">
        <v>45192</v>
      </c>
      <c r="D5286" t="inlineStr">
        <is>
          <t>ÖSTERGÖTLANDS LÄN</t>
        </is>
      </c>
      <c r="E5286" t="inlineStr">
        <is>
          <t>KINDA</t>
        </is>
      </c>
      <c r="G5286" t="n">
        <v>0.6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21648-2023</t>
        </is>
      </c>
      <c r="B5287" s="1" t="n">
        <v>45063</v>
      </c>
      <c r="C5287" s="1" t="n">
        <v>45192</v>
      </c>
      <c r="D5287" t="inlineStr">
        <is>
          <t>ÖSTERGÖTLANDS LÄN</t>
        </is>
      </c>
      <c r="E5287" t="inlineStr">
        <is>
          <t>SÖDERKÖPING</t>
        </is>
      </c>
      <c r="G5287" t="n">
        <v>3.2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21655-2023</t>
        </is>
      </c>
      <c r="B5288" s="1" t="n">
        <v>45063</v>
      </c>
      <c r="C5288" s="1" t="n">
        <v>45192</v>
      </c>
      <c r="D5288" t="inlineStr">
        <is>
          <t>ÖSTERGÖTLANDS LÄN</t>
        </is>
      </c>
      <c r="E5288" t="inlineStr">
        <is>
          <t>FINSPÅNG</t>
        </is>
      </c>
      <c r="G5288" t="n">
        <v>2.9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21483-2023</t>
        </is>
      </c>
      <c r="B5289" s="1" t="n">
        <v>45063</v>
      </c>
      <c r="C5289" s="1" t="n">
        <v>45192</v>
      </c>
      <c r="D5289" t="inlineStr">
        <is>
          <t>ÖSTERGÖTLANDS LÄN</t>
        </is>
      </c>
      <c r="E5289" t="inlineStr">
        <is>
          <t>VALDEMARSVIK</t>
        </is>
      </c>
      <c r="G5289" t="n">
        <v>2.6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21500-2023</t>
        </is>
      </c>
      <c r="B5290" s="1" t="n">
        <v>45063</v>
      </c>
      <c r="C5290" s="1" t="n">
        <v>45192</v>
      </c>
      <c r="D5290" t="inlineStr">
        <is>
          <t>ÖSTERGÖTLANDS LÄN</t>
        </is>
      </c>
      <c r="E5290" t="inlineStr">
        <is>
          <t>VALDEMARSVIK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21506-2023</t>
        </is>
      </c>
      <c r="B5291" s="1" t="n">
        <v>45063</v>
      </c>
      <c r="C5291" s="1" t="n">
        <v>45192</v>
      </c>
      <c r="D5291" t="inlineStr">
        <is>
          <t>ÖSTERGÖTLANDS LÄN</t>
        </is>
      </c>
      <c r="E5291" t="inlineStr">
        <is>
          <t>ÅTVIDABERG</t>
        </is>
      </c>
      <c r="F5291" t="inlineStr">
        <is>
          <t>Kyrkan</t>
        </is>
      </c>
      <c r="G5291" t="n">
        <v>0.9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21541-2023</t>
        </is>
      </c>
      <c r="B5292" s="1" t="n">
        <v>45063</v>
      </c>
      <c r="C5292" s="1" t="n">
        <v>45192</v>
      </c>
      <c r="D5292" t="inlineStr">
        <is>
          <t>ÖSTERGÖTLANDS LÄN</t>
        </is>
      </c>
      <c r="E5292" t="inlineStr">
        <is>
          <t>MOTALA</t>
        </is>
      </c>
      <c r="F5292" t="inlineStr">
        <is>
          <t>Sveaskog</t>
        </is>
      </c>
      <c r="G5292" t="n">
        <v>7.3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21754-2023</t>
        </is>
      </c>
      <c r="B5293" s="1" t="n">
        <v>45063</v>
      </c>
      <c r="C5293" s="1" t="n">
        <v>45192</v>
      </c>
      <c r="D5293" t="inlineStr">
        <is>
          <t>ÖSTERGÖTLANDS LÄN</t>
        </is>
      </c>
      <c r="E5293" t="inlineStr">
        <is>
          <t>BOXHOLM</t>
        </is>
      </c>
      <c r="G5293" t="n">
        <v>4.3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21487-2023</t>
        </is>
      </c>
      <c r="B5294" s="1" t="n">
        <v>45063</v>
      </c>
      <c r="C5294" s="1" t="n">
        <v>45192</v>
      </c>
      <c r="D5294" t="inlineStr">
        <is>
          <t>ÖSTERGÖTLANDS LÄN</t>
        </is>
      </c>
      <c r="E5294" t="inlineStr">
        <is>
          <t>VALDEMARSVIK</t>
        </is>
      </c>
      <c r="G5294" t="n">
        <v>1.6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21511-2023</t>
        </is>
      </c>
      <c r="B5295" s="1" t="n">
        <v>45063</v>
      </c>
      <c r="C5295" s="1" t="n">
        <v>45192</v>
      </c>
      <c r="D5295" t="inlineStr">
        <is>
          <t>ÖSTERGÖTLANDS LÄN</t>
        </is>
      </c>
      <c r="E5295" t="inlineStr">
        <is>
          <t>ÅTVIDABERG</t>
        </is>
      </c>
      <c r="F5295" t="inlineStr">
        <is>
          <t>Kyrkan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21544-2023</t>
        </is>
      </c>
      <c r="B5296" s="1" t="n">
        <v>45063</v>
      </c>
      <c r="C5296" s="1" t="n">
        <v>45192</v>
      </c>
      <c r="D5296" t="inlineStr">
        <is>
          <t>ÖSTERGÖTLANDS LÄN</t>
        </is>
      </c>
      <c r="E5296" t="inlineStr">
        <is>
          <t>MOTALA</t>
        </is>
      </c>
      <c r="F5296" t="inlineStr">
        <is>
          <t>Sveaskog</t>
        </is>
      </c>
      <c r="G5296" t="n">
        <v>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21770-2023</t>
        </is>
      </c>
      <c r="B5297" s="1" t="n">
        <v>45065</v>
      </c>
      <c r="C5297" s="1" t="n">
        <v>45192</v>
      </c>
      <c r="D5297" t="inlineStr">
        <is>
          <t>ÖSTERGÖTLANDS LÄN</t>
        </is>
      </c>
      <c r="E5297" t="inlineStr">
        <is>
          <t>ÖDESHÖG</t>
        </is>
      </c>
      <c r="G5297" t="n">
        <v>1.8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21838-2023</t>
        </is>
      </c>
      <c r="B5298" s="1" t="n">
        <v>45068</v>
      </c>
      <c r="C5298" s="1" t="n">
        <v>45192</v>
      </c>
      <c r="D5298" t="inlineStr">
        <is>
          <t>ÖSTERGÖTLANDS LÄN</t>
        </is>
      </c>
      <c r="E5298" t="inlineStr">
        <is>
          <t>MOTALA</t>
        </is>
      </c>
      <c r="G5298" t="n">
        <v>0.9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21991-2023</t>
        </is>
      </c>
      <c r="B5299" s="1" t="n">
        <v>45068</v>
      </c>
      <c r="C5299" s="1" t="n">
        <v>45192</v>
      </c>
      <c r="D5299" t="inlineStr">
        <is>
          <t>ÖSTERGÖTLANDS LÄN</t>
        </is>
      </c>
      <c r="E5299" t="inlineStr">
        <is>
          <t>MOTALA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22040-2023</t>
        </is>
      </c>
      <c r="B5300" s="1" t="n">
        <v>45068</v>
      </c>
      <c r="C5300" s="1" t="n">
        <v>45192</v>
      </c>
      <c r="D5300" t="inlineStr">
        <is>
          <t>ÖSTERGÖTLANDS LÄN</t>
        </is>
      </c>
      <c r="E5300" t="inlineStr">
        <is>
          <t>LINKÖPING</t>
        </is>
      </c>
      <c r="F5300" t="inlineStr">
        <is>
          <t>Kommuner</t>
        </is>
      </c>
      <c r="G5300" t="n">
        <v>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22113-2023</t>
        </is>
      </c>
      <c r="B5301" s="1" t="n">
        <v>45069</v>
      </c>
      <c r="C5301" s="1" t="n">
        <v>45192</v>
      </c>
      <c r="D5301" t="inlineStr">
        <is>
          <t>ÖSTERGÖTLANDS LÄN</t>
        </is>
      </c>
      <c r="E5301" t="inlineStr">
        <is>
          <t>MOTALA</t>
        </is>
      </c>
      <c r="G5301" t="n">
        <v>2.4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22100-2023</t>
        </is>
      </c>
      <c r="B5302" s="1" t="n">
        <v>45069</v>
      </c>
      <c r="C5302" s="1" t="n">
        <v>45192</v>
      </c>
      <c r="D5302" t="inlineStr">
        <is>
          <t>ÖSTERGÖTLANDS LÄN</t>
        </is>
      </c>
      <c r="E5302" t="inlineStr">
        <is>
          <t>LINKÖPING</t>
        </is>
      </c>
      <c r="G5302" t="n">
        <v>3.8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22088-2023</t>
        </is>
      </c>
      <c r="B5303" s="1" t="n">
        <v>45069</v>
      </c>
      <c r="C5303" s="1" t="n">
        <v>45192</v>
      </c>
      <c r="D5303" t="inlineStr">
        <is>
          <t>ÖSTERGÖTLANDS LÄN</t>
        </is>
      </c>
      <c r="E5303" t="inlineStr">
        <is>
          <t>ÖDESHÖG</t>
        </is>
      </c>
      <c r="G5303" t="n">
        <v>1.9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22342-2023</t>
        </is>
      </c>
      <c r="B5304" s="1" t="n">
        <v>45070</v>
      </c>
      <c r="C5304" s="1" t="n">
        <v>45192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3.7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22437-2023</t>
        </is>
      </c>
      <c r="B5305" s="1" t="n">
        <v>45070</v>
      </c>
      <c r="C5305" s="1" t="n">
        <v>45192</v>
      </c>
      <c r="D5305" t="inlineStr">
        <is>
          <t>ÖSTERGÖTLANDS LÄN</t>
        </is>
      </c>
      <c r="E5305" t="inlineStr">
        <is>
          <t>FINSPÅNG</t>
        </is>
      </c>
      <c r="F5305" t="inlineStr">
        <is>
          <t>Holmen skog AB</t>
        </is>
      </c>
      <c r="G5305" t="n">
        <v>3.2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22282-2023</t>
        </is>
      </c>
      <c r="B5306" s="1" t="n">
        <v>45070</v>
      </c>
      <c r="C5306" s="1" t="n">
        <v>45192</v>
      </c>
      <c r="D5306" t="inlineStr">
        <is>
          <t>ÖSTERGÖTLANDS LÄN</t>
        </is>
      </c>
      <c r="E5306" t="inlineStr">
        <is>
          <t>ÖDESHÖG</t>
        </is>
      </c>
      <c r="G5306" t="n">
        <v>1.4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22332-2023</t>
        </is>
      </c>
      <c r="B5307" s="1" t="n">
        <v>45070</v>
      </c>
      <c r="C5307" s="1" t="n">
        <v>45192</v>
      </c>
      <c r="D5307" t="inlineStr">
        <is>
          <t>ÖSTERGÖTLANDS LÄN</t>
        </is>
      </c>
      <c r="E5307" t="inlineStr">
        <is>
          <t>YDRE</t>
        </is>
      </c>
      <c r="F5307" t="inlineStr">
        <is>
          <t>Övriga Aktiebolag</t>
        </is>
      </c>
      <c r="G5307" t="n">
        <v>4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22703-2023</t>
        </is>
      </c>
      <c r="B5308" s="1" t="n">
        <v>45071</v>
      </c>
      <c r="C5308" s="1" t="n">
        <v>45192</v>
      </c>
      <c r="D5308" t="inlineStr">
        <is>
          <t>ÖSTERGÖTLANDS LÄN</t>
        </is>
      </c>
      <c r="E5308" t="inlineStr">
        <is>
          <t>KINDA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22644-2023</t>
        </is>
      </c>
      <c r="B5309" s="1" t="n">
        <v>45071</v>
      </c>
      <c r="C5309" s="1" t="n">
        <v>45192</v>
      </c>
      <c r="D5309" t="inlineStr">
        <is>
          <t>ÖSTERGÖTLANDS LÄN</t>
        </is>
      </c>
      <c r="E5309" t="inlineStr">
        <is>
          <t>FINSPÅNG</t>
        </is>
      </c>
      <c r="G5309" t="n">
        <v>0.9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22686-2023</t>
        </is>
      </c>
      <c r="B5310" s="1" t="n">
        <v>45071</v>
      </c>
      <c r="C5310" s="1" t="n">
        <v>45192</v>
      </c>
      <c r="D5310" t="inlineStr">
        <is>
          <t>ÖSTERGÖTLANDS LÄN</t>
        </is>
      </c>
      <c r="E5310" t="inlineStr">
        <is>
          <t>KINDA</t>
        </is>
      </c>
      <c r="G5310" t="n">
        <v>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22694-2023</t>
        </is>
      </c>
      <c r="B5311" s="1" t="n">
        <v>45071</v>
      </c>
      <c r="C5311" s="1" t="n">
        <v>45192</v>
      </c>
      <c r="D5311" t="inlineStr">
        <is>
          <t>ÖSTERGÖTLANDS LÄN</t>
        </is>
      </c>
      <c r="E5311" t="inlineStr">
        <is>
          <t>KINDA</t>
        </is>
      </c>
      <c r="G5311" t="n">
        <v>1.4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22842-2023</t>
        </is>
      </c>
      <c r="B5312" s="1" t="n">
        <v>45071</v>
      </c>
      <c r="C5312" s="1" t="n">
        <v>45192</v>
      </c>
      <c r="D5312" t="inlineStr">
        <is>
          <t>ÖSTERGÖTLANDS LÄN</t>
        </is>
      </c>
      <c r="E5312" t="inlineStr">
        <is>
          <t>LINKÖPING</t>
        </is>
      </c>
      <c r="F5312" t="inlineStr">
        <is>
          <t>Kommuner</t>
        </is>
      </c>
      <c r="G5312" t="n">
        <v>1.3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22539-2023</t>
        </is>
      </c>
      <c r="B5313" s="1" t="n">
        <v>45071</v>
      </c>
      <c r="C5313" s="1" t="n">
        <v>45192</v>
      </c>
      <c r="D5313" t="inlineStr">
        <is>
          <t>ÖSTERGÖTLANDS LÄN</t>
        </is>
      </c>
      <c r="E5313" t="inlineStr">
        <is>
          <t>NORRKÖPING</t>
        </is>
      </c>
      <c r="G5313" t="n">
        <v>0.5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22647-2023</t>
        </is>
      </c>
      <c r="B5314" s="1" t="n">
        <v>45071</v>
      </c>
      <c r="C5314" s="1" t="n">
        <v>45192</v>
      </c>
      <c r="D5314" t="inlineStr">
        <is>
          <t>ÖSTERGÖTLANDS LÄN</t>
        </is>
      </c>
      <c r="E5314" t="inlineStr">
        <is>
          <t>NORRKÖPING</t>
        </is>
      </c>
      <c r="G5314" t="n">
        <v>1.1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22651-2023</t>
        </is>
      </c>
      <c r="B5315" s="1" t="n">
        <v>45071</v>
      </c>
      <c r="C5315" s="1" t="n">
        <v>45192</v>
      </c>
      <c r="D5315" t="inlineStr">
        <is>
          <t>ÖSTERGÖTLANDS LÄN</t>
        </is>
      </c>
      <c r="E5315" t="inlineStr">
        <is>
          <t>NORRKÖPING</t>
        </is>
      </c>
      <c r="G5315" t="n">
        <v>2.7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22689-2023</t>
        </is>
      </c>
      <c r="B5316" s="1" t="n">
        <v>45071</v>
      </c>
      <c r="C5316" s="1" t="n">
        <v>45192</v>
      </c>
      <c r="D5316" t="inlineStr">
        <is>
          <t>ÖSTERGÖTLANDS LÄN</t>
        </is>
      </c>
      <c r="E5316" t="inlineStr">
        <is>
          <t>NORRKÖPING</t>
        </is>
      </c>
      <c r="G5316" t="n">
        <v>3.1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22693-2023</t>
        </is>
      </c>
      <c r="B5317" s="1" t="n">
        <v>45071</v>
      </c>
      <c r="C5317" s="1" t="n">
        <v>45192</v>
      </c>
      <c r="D5317" t="inlineStr">
        <is>
          <t>ÖSTERGÖTLANDS LÄN</t>
        </is>
      </c>
      <c r="E5317" t="inlineStr">
        <is>
          <t>NORRKÖPING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22833-2023</t>
        </is>
      </c>
      <c r="B5318" s="1" t="n">
        <v>45071</v>
      </c>
      <c r="C5318" s="1" t="n">
        <v>45192</v>
      </c>
      <c r="D5318" t="inlineStr">
        <is>
          <t>ÖSTERGÖTLANDS LÄN</t>
        </is>
      </c>
      <c r="E5318" t="inlineStr">
        <is>
          <t>LINKÖPING</t>
        </is>
      </c>
      <c r="F5318" t="inlineStr">
        <is>
          <t>Kommuner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22626-2023</t>
        </is>
      </c>
      <c r="B5319" s="1" t="n">
        <v>45071</v>
      </c>
      <c r="C5319" s="1" t="n">
        <v>45192</v>
      </c>
      <c r="D5319" t="inlineStr">
        <is>
          <t>ÖSTERGÖTLANDS LÄN</t>
        </is>
      </c>
      <c r="E5319" t="inlineStr">
        <is>
          <t>NORRKÖPING</t>
        </is>
      </c>
      <c r="G5319" t="n">
        <v>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22691-2023</t>
        </is>
      </c>
      <c r="B5320" s="1" t="n">
        <v>45071</v>
      </c>
      <c r="C5320" s="1" t="n">
        <v>45192</v>
      </c>
      <c r="D5320" t="inlineStr">
        <is>
          <t>ÖSTERGÖTLANDS LÄN</t>
        </is>
      </c>
      <c r="E5320" t="inlineStr">
        <is>
          <t>KINDA</t>
        </is>
      </c>
      <c r="G5320" t="n">
        <v>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22698-2023</t>
        </is>
      </c>
      <c r="B5321" s="1" t="n">
        <v>45071</v>
      </c>
      <c r="C5321" s="1" t="n">
        <v>45192</v>
      </c>
      <c r="D5321" t="inlineStr">
        <is>
          <t>ÖSTERGÖTLANDS LÄN</t>
        </is>
      </c>
      <c r="E5321" t="inlineStr">
        <is>
          <t>NORRKÖPING</t>
        </is>
      </c>
      <c r="G5321" t="n">
        <v>3.2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22878-2023</t>
        </is>
      </c>
      <c r="B5322" s="1" t="n">
        <v>45072</v>
      </c>
      <c r="C5322" s="1" t="n">
        <v>45192</v>
      </c>
      <c r="D5322" t="inlineStr">
        <is>
          <t>ÖSTERGÖTLANDS LÄN</t>
        </is>
      </c>
      <c r="E5322" t="inlineStr">
        <is>
          <t>ÅTVIDABERG</t>
        </is>
      </c>
      <c r="G5322" t="n">
        <v>1.2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22956-2023</t>
        </is>
      </c>
      <c r="B5323" s="1" t="n">
        <v>45072</v>
      </c>
      <c r="C5323" s="1" t="n">
        <v>45192</v>
      </c>
      <c r="D5323" t="inlineStr">
        <is>
          <t>ÖSTERGÖTLANDS LÄN</t>
        </is>
      </c>
      <c r="E5323" t="inlineStr">
        <is>
          <t>NORRKÖPING</t>
        </is>
      </c>
      <c r="F5323" t="inlineStr">
        <is>
          <t>Holmen skog AB</t>
        </is>
      </c>
      <c r="G5323" t="n">
        <v>0.5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23376-2023</t>
        </is>
      </c>
      <c r="B5324" s="1" t="n">
        <v>45076</v>
      </c>
      <c r="C5324" s="1" t="n">
        <v>45192</v>
      </c>
      <c r="D5324" t="inlineStr">
        <is>
          <t>ÖSTERGÖTLANDS LÄN</t>
        </is>
      </c>
      <c r="E5324" t="inlineStr">
        <is>
          <t>LINKÖPING</t>
        </is>
      </c>
      <c r="G5324" t="n">
        <v>2.9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23426-2023</t>
        </is>
      </c>
      <c r="B5325" s="1" t="n">
        <v>45076</v>
      </c>
      <c r="C5325" s="1" t="n">
        <v>45192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23492-2023</t>
        </is>
      </c>
      <c r="B5326" s="1" t="n">
        <v>45076</v>
      </c>
      <c r="C5326" s="1" t="n">
        <v>45192</v>
      </c>
      <c r="D5326" t="inlineStr">
        <is>
          <t>ÖSTERGÖTLANDS LÄN</t>
        </is>
      </c>
      <c r="E5326" t="inlineStr">
        <is>
          <t>NORRKÖPING</t>
        </is>
      </c>
      <c r="F5326" t="inlineStr">
        <is>
          <t>Holmen skog AB</t>
        </is>
      </c>
      <c r="G5326" t="n">
        <v>0.7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23510-2023</t>
        </is>
      </c>
      <c r="B5327" s="1" t="n">
        <v>45076</v>
      </c>
      <c r="C5327" s="1" t="n">
        <v>45192</v>
      </c>
      <c r="D5327" t="inlineStr">
        <is>
          <t>ÖSTERGÖTLANDS LÄN</t>
        </is>
      </c>
      <c r="E5327" t="inlineStr">
        <is>
          <t>KINDA</t>
        </is>
      </c>
      <c r="G5327" t="n">
        <v>1.9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23350-2023</t>
        </is>
      </c>
      <c r="B5328" s="1" t="n">
        <v>45076</v>
      </c>
      <c r="C5328" s="1" t="n">
        <v>45192</v>
      </c>
      <c r="D5328" t="inlineStr">
        <is>
          <t>ÖSTERGÖTLANDS LÄN</t>
        </is>
      </c>
      <c r="E5328" t="inlineStr">
        <is>
          <t>FINSPÅNG</t>
        </is>
      </c>
      <c r="F5328" t="inlineStr">
        <is>
          <t>Holmen skog AB</t>
        </is>
      </c>
      <c r="G5328" t="n">
        <v>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23462-2023</t>
        </is>
      </c>
      <c r="B5329" s="1" t="n">
        <v>45076</v>
      </c>
      <c r="C5329" s="1" t="n">
        <v>45192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2.6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23444-2023</t>
        </is>
      </c>
      <c r="B5330" s="1" t="n">
        <v>45076</v>
      </c>
      <c r="C5330" s="1" t="n">
        <v>45192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23567-2023</t>
        </is>
      </c>
      <c r="B5331" s="1" t="n">
        <v>45077</v>
      </c>
      <c r="C5331" s="1" t="n">
        <v>45192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3.7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23588-2023</t>
        </is>
      </c>
      <c r="B5332" s="1" t="n">
        <v>45077</v>
      </c>
      <c r="C5332" s="1" t="n">
        <v>45192</v>
      </c>
      <c r="D5332" t="inlineStr">
        <is>
          <t>ÖSTERGÖTLANDS LÄN</t>
        </is>
      </c>
      <c r="E5332" t="inlineStr">
        <is>
          <t>YDRE</t>
        </is>
      </c>
      <c r="G5332" t="n">
        <v>3.8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23597-2023</t>
        </is>
      </c>
      <c r="B5333" s="1" t="n">
        <v>45077</v>
      </c>
      <c r="C5333" s="1" t="n">
        <v>45192</v>
      </c>
      <c r="D5333" t="inlineStr">
        <is>
          <t>ÖSTERGÖTLANDS LÄN</t>
        </is>
      </c>
      <c r="E5333" t="inlineStr">
        <is>
          <t>YDRE</t>
        </is>
      </c>
      <c r="G5333" t="n">
        <v>5.2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23677-2023</t>
        </is>
      </c>
      <c r="B5334" s="1" t="n">
        <v>45077</v>
      </c>
      <c r="C5334" s="1" t="n">
        <v>45192</v>
      </c>
      <c r="D5334" t="inlineStr">
        <is>
          <t>ÖSTERGÖTLANDS LÄN</t>
        </is>
      </c>
      <c r="E5334" t="inlineStr">
        <is>
          <t>VADSTENA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24525-2023</t>
        </is>
      </c>
      <c r="B5335" s="1" t="n">
        <v>45077</v>
      </c>
      <c r="C5335" s="1" t="n">
        <v>45192</v>
      </c>
      <c r="D5335" t="inlineStr">
        <is>
          <t>ÖSTERGÖTLANDS LÄN</t>
        </is>
      </c>
      <c r="E5335" t="inlineStr">
        <is>
          <t>YDRE</t>
        </is>
      </c>
      <c r="G5335" t="n">
        <v>0.8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23589-2023</t>
        </is>
      </c>
      <c r="B5336" s="1" t="n">
        <v>45077</v>
      </c>
      <c r="C5336" s="1" t="n">
        <v>45192</v>
      </c>
      <c r="D5336" t="inlineStr">
        <is>
          <t>ÖSTERGÖTLANDS LÄN</t>
        </is>
      </c>
      <c r="E5336" t="inlineStr">
        <is>
          <t>YDRE</t>
        </is>
      </c>
      <c r="G5336" t="n">
        <v>5.6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23614-2023</t>
        </is>
      </c>
      <c r="B5337" s="1" t="n">
        <v>45077</v>
      </c>
      <c r="C5337" s="1" t="n">
        <v>45192</v>
      </c>
      <c r="D5337" t="inlineStr">
        <is>
          <t>ÖSTERGÖTLANDS LÄN</t>
        </is>
      </c>
      <c r="E5337" t="inlineStr">
        <is>
          <t>NORRKÖPING</t>
        </is>
      </c>
      <c r="G5337" t="n">
        <v>1.6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23630-2023</t>
        </is>
      </c>
      <c r="B5338" s="1" t="n">
        <v>45077</v>
      </c>
      <c r="C5338" s="1" t="n">
        <v>45192</v>
      </c>
      <c r="D5338" t="inlineStr">
        <is>
          <t>ÖSTERGÖTLANDS LÄN</t>
        </is>
      </c>
      <c r="E5338" t="inlineStr">
        <is>
          <t>NORRKÖPING</t>
        </is>
      </c>
      <c r="G5338" t="n">
        <v>0.7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23642-2023</t>
        </is>
      </c>
      <c r="B5339" s="1" t="n">
        <v>45077</v>
      </c>
      <c r="C5339" s="1" t="n">
        <v>45192</v>
      </c>
      <c r="D5339" t="inlineStr">
        <is>
          <t>ÖSTERGÖTLANDS LÄN</t>
        </is>
      </c>
      <c r="E5339" t="inlineStr">
        <is>
          <t>ÅTVIDABERG</t>
        </is>
      </c>
      <c r="G5339" t="n">
        <v>0.9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23672-2023</t>
        </is>
      </c>
      <c r="B5340" s="1" t="n">
        <v>45077</v>
      </c>
      <c r="C5340" s="1" t="n">
        <v>45192</v>
      </c>
      <c r="D5340" t="inlineStr">
        <is>
          <t>ÖSTERGÖTLANDS LÄN</t>
        </is>
      </c>
      <c r="E5340" t="inlineStr">
        <is>
          <t>VADSTENA</t>
        </is>
      </c>
      <c r="G5340" t="n">
        <v>1.7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23678-2023</t>
        </is>
      </c>
      <c r="B5341" s="1" t="n">
        <v>45077</v>
      </c>
      <c r="C5341" s="1" t="n">
        <v>45192</v>
      </c>
      <c r="D5341" t="inlineStr">
        <is>
          <t>ÖSTERGÖTLANDS LÄN</t>
        </is>
      </c>
      <c r="E5341" t="inlineStr">
        <is>
          <t>VADSTENA</t>
        </is>
      </c>
      <c r="G5341" t="n">
        <v>1.4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23724-2023</t>
        </is>
      </c>
      <c r="B5342" s="1" t="n">
        <v>45077</v>
      </c>
      <c r="C5342" s="1" t="n">
        <v>45192</v>
      </c>
      <c r="D5342" t="inlineStr">
        <is>
          <t>ÖSTERGÖTLANDS LÄN</t>
        </is>
      </c>
      <c r="E5342" t="inlineStr">
        <is>
          <t>FINSPÅNG</t>
        </is>
      </c>
      <c r="F5342" t="inlineStr">
        <is>
          <t>Holmen skog AB</t>
        </is>
      </c>
      <c r="G5342" t="n">
        <v>2.6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23735-2023</t>
        </is>
      </c>
      <c r="B5343" s="1" t="n">
        <v>45077</v>
      </c>
      <c r="C5343" s="1" t="n">
        <v>45192</v>
      </c>
      <c r="D5343" t="inlineStr">
        <is>
          <t>ÖSTERGÖTLANDS LÄN</t>
        </is>
      </c>
      <c r="E5343" t="inlineStr">
        <is>
          <t>LINKÖPING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23745-2023</t>
        </is>
      </c>
      <c r="B5344" s="1" t="n">
        <v>45077</v>
      </c>
      <c r="C5344" s="1" t="n">
        <v>45192</v>
      </c>
      <c r="D5344" t="inlineStr">
        <is>
          <t>ÖSTERGÖTLANDS LÄN</t>
        </is>
      </c>
      <c r="E5344" t="inlineStr">
        <is>
          <t>SÖDERKÖPING</t>
        </is>
      </c>
      <c r="G5344" t="n">
        <v>7.1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24529-2023</t>
        </is>
      </c>
      <c r="B5345" s="1" t="n">
        <v>45077</v>
      </c>
      <c r="C5345" s="1" t="n">
        <v>45192</v>
      </c>
      <c r="D5345" t="inlineStr">
        <is>
          <t>ÖSTERGÖTLANDS LÄN</t>
        </is>
      </c>
      <c r="E5345" t="inlineStr">
        <is>
          <t>YDRE</t>
        </is>
      </c>
      <c r="G5345" t="n">
        <v>1.9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23626-2023</t>
        </is>
      </c>
      <c r="B5346" s="1" t="n">
        <v>45077</v>
      </c>
      <c r="C5346" s="1" t="n">
        <v>45192</v>
      </c>
      <c r="D5346" t="inlineStr">
        <is>
          <t>ÖSTERGÖTLANDS LÄN</t>
        </is>
      </c>
      <c r="E5346" t="inlineStr">
        <is>
          <t>FINSPÅNG</t>
        </is>
      </c>
      <c r="F5346" t="inlineStr">
        <is>
          <t>Holmen skog AB</t>
        </is>
      </c>
      <c r="G5346" t="n">
        <v>3.4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23675-2023</t>
        </is>
      </c>
      <c r="B5347" s="1" t="n">
        <v>45077</v>
      </c>
      <c r="C5347" s="1" t="n">
        <v>45192</v>
      </c>
      <c r="D5347" t="inlineStr">
        <is>
          <t>ÖSTERGÖTLANDS LÄN</t>
        </is>
      </c>
      <c r="E5347" t="inlineStr">
        <is>
          <t>VADSTENA</t>
        </is>
      </c>
      <c r="G5347" t="n">
        <v>1.7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23564-2023</t>
        </is>
      </c>
      <c r="B5348" s="1" t="n">
        <v>45077</v>
      </c>
      <c r="C5348" s="1" t="n">
        <v>45192</v>
      </c>
      <c r="D5348" t="inlineStr">
        <is>
          <t>ÖSTERGÖTLANDS LÄN</t>
        </is>
      </c>
      <c r="E5348" t="inlineStr">
        <is>
          <t>KINDA</t>
        </is>
      </c>
      <c r="G5348" t="n">
        <v>2.9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23582-2023</t>
        </is>
      </c>
      <c r="B5349" s="1" t="n">
        <v>45077</v>
      </c>
      <c r="C5349" s="1" t="n">
        <v>45192</v>
      </c>
      <c r="D5349" t="inlineStr">
        <is>
          <t>ÖSTERGÖTLANDS LÄN</t>
        </is>
      </c>
      <c r="E5349" t="inlineStr">
        <is>
          <t>YDRE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24530-2023</t>
        </is>
      </c>
      <c r="B5350" s="1" t="n">
        <v>45077</v>
      </c>
      <c r="C5350" s="1" t="n">
        <v>45192</v>
      </c>
      <c r="D5350" t="inlineStr">
        <is>
          <t>ÖSTERGÖTLANDS LÄN</t>
        </is>
      </c>
      <c r="E5350" t="inlineStr">
        <is>
          <t>YDRE</t>
        </is>
      </c>
      <c r="G5350" t="n">
        <v>3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24730-2023</t>
        </is>
      </c>
      <c r="B5351" s="1" t="n">
        <v>45078</v>
      </c>
      <c r="C5351" s="1" t="n">
        <v>45192</v>
      </c>
      <c r="D5351" t="inlineStr">
        <is>
          <t>ÖSTERGÖTLANDS LÄN</t>
        </is>
      </c>
      <c r="E5351" t="inlineStr">
        <is>
          <t>KINDA</t>
        </is>
      </c>
      <c r="G5351" t="n">
        <v>5.1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24748-2023</t>
        </is>
      </c>
      <c r="B5352" s="1" t="n">
        <v>45078</v>
      </c>
      <c r="C5352" s="1" t="n">
        <v>45192</v>
      </c>
      <c r="D5352" t="inlineStr">
        <is>
          <t>ÖSTERGÖTLANDS LÄN</t>
        </is>
      </c>
      <c r="E5352" t="inlineStr">
        <is>
          <t>KINDA</t>
        </is>
      </c>
      <c r="G5352" t="n">
        <v>0.6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23821-2023</t>
        </is>
      </c>
      <c r="B5353" s="1" t="n">
        <v>45078</v>
      </c>
      <c r="C5353" s="1" t="n">
        <v>45192</v>
      </c>
      <c r="D5353" t="inlineStr">
        <is>
          <t>ÖSTERGÖTLANDS LÄN</t>
        </is>
      </c>
      <c r="E5353" t="inlineStr">
        <is>
          <t>FINSPÅNG</t>
        </is>
      </c>
      <c r="G5353" t="n">
        <v>3.2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23885-2023</t>
        </is>
      </c>
      <c r="B5354" s="1" t="n">
        <v>45078</v>
      </c>
      <c r="C5354" s="1" t="n">
        <v>45192</v>
      </c>
      <c r="D5354" t="inlineStr">
        <is>
          <t>ÖSTERGÖTLANDS LÄN</t>
        </is>
      </c>
      <c r="E5354" t="inlineStr">
        <is>
          <t>KINDA</t>
        </is>
      </c>
      <c r="G5354" t="n">
        <v>9.5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24750-2023</t>
        </is>
      </c>
      <c r="B5355" s="1" t="n">
        <v>45078</v>
      </c>
      <c r="C5355" s="1" t="n">
        <v>45192</v>
      </c>
      <c r="D5355" t="inlineStr">
        <is>
          <t>ÖSTERGÖTLANDS LÄN</t>
        </is>
      </c>
      <c r="E5355" t="inlineStr">
        <is>
          <t>KINDA</t>
        </is>
      </c>
      <c r="G5355" t="n">
        <v>1.9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24711-2023</t>
        </is>
      </c>
      <c r="B5356" s="1" t="n">
        <v>45078</v>
      </c>
      <c r="C5356" s="1" t="n">
        <v>45192</v>
      </c>
      <c r="D5356" t="inlineStr">
        <is>
          <t>ÖSTERGÖTLANDS LÄN</t>
        </is>
      </c>
      <c r="E5356" t="inlineStr">
        <is>
          <t>KINDA</t>
        </is>
      </c>
      <c r="G5356" t="n">
        <v>0.6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24742-2023</t>
        </is>
      </c>
      <c r="B5357" s="1" t="n">
        <v>45078</v>
      </c>
      <c r="C5357" s="1" t="n">
        <v>45192</v>
      </c>
      <c r="D5357" t="inlineStr">
        <is>
          <t>ÖSTERGÖTLANDS LÄN</t>
        </is>
      </c>
      <c r="E5357" t="inlineStr">
        <is>
          <t>KINDA</t>
        </is>
      </c>
      <c r="G5357" t="n">
        <v>1.3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23892-2023</t>
        </is>
      </c>
      <c r="B5358" s="1" t="n">
        <v>45078</v>
      </c>
      <c r="C5358" s="1" t="n">
        <v>45192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0.7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23897-2023</t>
        </is>
      </c>
      <c r="B5359" s="1" t="n">
        <v>45078</v>
      </c>
      <c r="C5359" s="1" t="n">
        <v>45192</v>
      </c>
      <c r="D5359" t="inlineStr">
        <is>
          <t>ÖSTERGÖTLANDS LÄN</t>
        </is>
      </c>
      <c r="E5359" t="inlineStr">
        <is>
          <t>KINDA</t>
        </is>
      </c>
      <c r="F5359" t="inlineStr">
        <is>
          <t>Sveaskog</t>
        </is>
      </c>
      <c r="G5359" t="n">
        <v>1.2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24717-2023</t>
        </is>
      </c>
      <c r="B5360" s="1" t="n">
        <v>45078</v>
      </c>
      <c r="C5360" s="1" t="n">
        <v>45192</v>
      </c>
      <c r="D5360" t="inlineStr">
        <is>
          <t>ÖSTERGÖTLANDS LÄN</t>
        </is>
      </c>
      <c r="E5360" t="inlineStr">
        <is>
          <t>KINDA</t>
        </is>
      </c>
      <c r="G5360" t="n">
        <v>7.1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24746-2023</t>
        </is>
      </c>
      <c r="B5361" s="1" t="n">
        <v>45078</v>
      </c>
      <c r="C5361" s="1" t="n">
        <v>45192</v>
      </c>
      <c r="D5361" t="inlineStr">
        <is>
          <t>ÖSTERGÖTLANDS LÄN</t>
        </is>
      </c>
      <c r="E5361" t="inlineStr">
        <is>
          <t>KINDA</t>
        </is>
      </c>
      <c r="G5361" t="n">
        <v>3.6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24265-2023</t>
        </is>
      </c>
      <c r="B5362" s="1" t="n">
        <v>45079</v>
      </c>
      <c r="C5362" s="1" t="n">
        <v>45192</v>
      </c>
      <c r="D5362" t="inlineStr">
        <is>
          <t>ÖSTERGÖTLANDS LÄN</t>
        </is>
      </c>
      <c r="E5362" t="inlineStr">
        <is>
          <t>FINSPÅNG</t>
        </is>
      </c>
      <c r="F5362" t="inlineStr">
        <is>
          <t>Holmen skog AB</t>
        </is>
      </c>
      <c r="G5362" t="n">
        <v>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24124-2023</t>
        </is>
      </c>
      <c r="B5363" s="1" t="n">
        <v>45079</v>
      </c>
      <c r="C5363" s="1" t="n">
        <v>45192</v>
      </c>
      <c r="D5363" t="inlineStr">
        <is>
          <t>ÖSTERGÖTLANDS LÄN</t>
        </is>
      </c>
      <c r="E5363" t="inlineStr">
        <is>
          <t>MOTALA</t>
        </is>
      </c>
      <c r="G5363" t="n">
        <v>3.2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24162-2023</t>
        </is>
      </c>
      <c r="B5364" s="1" t="n">
        <v>45079</v>
      </c>
      <c r="C5364" s="1" t="n">
        <v>45192</v>
      </c>
      <c r="D5364" t="inlineStr">
        <is>
          <t>ÖSTERGÖTLANDS LÄN</t>
        </is>
      </c>
      <c r="E5364" t="inlineStr">
        <is>
          <t>ÅTVIDABERG</t>
        </is>
      </c>
      <c r="G5364" t="n">
        <v>1.4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24122-2023</t>
        </is>
      </c>
      <c r="B5365" s="1" t="n">
        <v>45079</v>
      </c>
      <c r="C5365" s="1" t="n">
        <v>45192</v>
      </c>
      <c r="D5365" t="inlineStr">
        <is>
          <t>ÖSTERGÖTLANDS LÄN</t>
        </is>
      </c>
      <c r="E5365" t="inlineStr">
        <is>
          <t>BOXHOLM</t>
        </is>
      </c>
      <c r="G5365" t="n">
        <v>3.7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24090-2023</t>
        </is>
      </c>
      <c r="B5366" s="1" t="n">
        <v>45079</v>
      </c>
      <c r="C5366" s="1" t="n">
        <v>45192</v>
      </c>
      <c r="D5366" t="inlineStr">
        <is>
          <t>ÖSTERGÖTLANDS LÄN</t>
        </is>
      </c>
      <c r="E5366" t="inlineStr">
        <is>
          <t>MOTALA</t>
        </is>
      </c>
      <c r="G5366" t="n">
        <v>0.6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24319-2023</t>
        </is>
      </c>
      <c r="B5367" s="1" t="n">
        <v>45080</v>
      </c>
      <c r="C5367" s="1" t="n">
        <v>45192</v>
      </c>
      <c r="D5367" t="inlineStr">
        <is>
          <t>ÖSTERGÖTLANDS LÄN</t>
        </is>
      </c>
      <c r="E5367" t="inlineStr">
        <is>
          <t>SÖDERKÖPING</t>
        </is>
      </c>
      <c r="G5367" t="n">
        <v>6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24442-2023</t>
        </is>
      </c>
      <c r="B5368" s="1" t="n">
        <v>45082</v>
      </c>
      <c r="C5368" s="1" t="n">
        <v>45192</v>
      </c>
      <c r="D5368" t="inlineStr">
        <is>
          <t>ÖSTERGÖTLANDS LÄN</t>
        </is>
      </c>
      <c r="E5368" t="inlineStr">
        <is>
          <t>MOTALA</t>
        </is>
      </c>
      <c r="G5368" t="n">
        <v>4.7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25484-2023</t>
        </is>
      </c>
      <c r="B5369" s="1" t="n">
        <v>45082</v>
      </c>
      <c r="C5369" s="1" t="n">
        <v>45192</v>
      </c>
      <c r="D5369" t="inlineStr">
        <is>
          <t>ÖSTERGÖTLANDS LÄN</t>
        </is>
      </c>
      <c r="E5369" t="inlineStr">
        <is>
          <t>KINDA</t>
        </is>
      </c>
      <c r="G5369" t="n">
        <v>2.8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24467-2023</t>
        </is>
      </c>
      <c r="B5370" s="1" t="n">
        <v>45082</v>
      </c>
      <c r="C5370" s="1" t="n">
        <v>45192</v>
      </c>
      <c r="D5370" t="inlineStr">
        <is>
          <t>ÖSTERGÖTLANDS LÄN</t>
        </is>
      </c>
      <c r="E5370" t="inlineStr">
        <is>
          <t>LINKÖPING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25490-2023</t>
        </is>
      </c>
      <c r="B5371" s="1" t="n">
        <v>45082</v>
      </c>
      <c r="C5371" s="1" t="n">
        <v>45192</v>
      </c>
      <c r="D5371" t="inlineStr">
        <is>
          <t>ÖSTERGÖTLANDS LÄN</t>
        </is>
      </c>
      <c r="E5371" t="inlineStr">
        <is>
          <t>KINDA</t>
        </is>
      </c>
      <c r="G5371" t="n">
        <v>2.2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24404-2023</t>
        </is>
      </c>
      <c r="B5372" s="1" t="n">
        <v>45082</v>
      </c>
      <c r="C5372" s="1" t="n">
        <v>45192</v>
      </c>
      <c r="D5372" t="inlineStr">
        <is>
          <t>ÖSTERGÖTLANDS LÄN</t>
        </is>
      </c>
      <c r="E5372" t="inlineStr">
        <is>
          <t>FINSPÅNG</t>
        </is>
      </c>
      <c r="F5372" t="inlineStr">
        <is>
          <t>Holmen skog AB</t>
        </is>
      </c>
      <c r="G5372" t="n">
        <v>12.4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24462-2023</t>
        </is>
      </c>
      <c r="B5373" s="1" t="n">
        <v>45082</v>
      </c>
      <c r="C5373" s="1" t="n">
        <v>45192</v>
      </c>
      <c r="D5373" t="inlineStr">
        <is>
          <t>ÖSTERGÖTLANDS LÄN</t>
        </is>
      </c>
      <c r="E5373" t="inlineStr">
        <is>
          <t>LINKÖPING</t>
        </is>
      </c>
      <c r="G5373" t="n">
        <v>3.5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25469-2023</t>
        </is>
      </c>
      <c r="B5374" s="1" t="n">
        <v>45082</v>
      </c>
      <c r="C5374" s="1" t="n">
        <v>45192</v>
      </c>
      <c r="D5374" t="inlineStr">
        <is>
          <t>ÖSTERGÖTLANDS LÄN</t>
        </is>
      </c>
      <c r="E5374" t="inlineStr">
        <is>
          <t>KINDA</t>
        </is>
      </c>
      <c r="G5374" t="n">
        <v>1.6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25500-2023</t>
        </is>
      </c>
      <c r="B5375" s="1" t="n">
        <v>45082</v>
      </c>
      <c r="C5375" s="1" t="n">
        <v>45192</v>
      </c>
      <c r="D5375" t="inlineStr">
        <is>
          <t>ÖSTERGÖTLANDS LÄN</t>
        </is>
      </c>
      <c r="E5375" t="inlineStr">
        <is>
          <t>KINDA</t>
        </is>
      </c>
      <c r="G5375" t="n">
        <v>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24500-2023</t>
        </is>
      </c>
      <c r="B5376" s="1" t="n">
        <v>45082</v>
      </c>
      <c r="C5376" s="1" t="n">
        <v>45192</v>
      </c>
      <c r="D5376" t="inlineStr">
        <is>
          <t>ÖSTERGÖTLANDS LÄN</t>
        </is>
      </c>
      <c r="E5376" t="inlineStr">
        <is>
          <t>FINSPÅNG</t>
        </is>
      </c>
      <c r="F5376" t="inlineStr">
        <is>
          <t>Holmen skog AB</t>
        </is>
      </c>
      <c r="G5376" t="n">
        <v>4.2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25493-2023</t>
        </is>
      </c>
      <c r="B5377" s="1" t="n">
        <v>45082</v>
      </c>
      <c r="C5377" s="1" t="n">
        <v>45192</v>
      </c>
      <c r="D5377" t="inlineStr">
        <is>
          <t>ÖSTERGÖTLANDS LÄN</t>
        </is>
      </c>
      <c r="E5377" t="inlineStr">
        <is>
          <t>KINDA</t>
        </is>
      </c>
      <c r="G5377" t="n">
        <v>3.7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24716-2023</t>
        </is>
      </c>
      <c r="B5378" s="1" t="n">
        <v>45084</v>
      </c>
      <c r="C5378" s="1" t="n">
        <v>45192</v>
      </c>
      <c r="D5378" t="inlineStr">
        <is>
          <t>ÖSTERGÖTLANDS LÄN</t>
        </is>
      </c>
      <c r="E5378" t="inlineStr">
        <is>
          <t>ÅTVIDABERG</t>
        </is>
      </c>
      <c r="F5378" t="inlineStr">
        <is>
          <t>Övriga Aktiebolag</t>
        </is>
      </c>
      <c r="G5378" t="n">
        <v>4.6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24752-2023</t>
        </is>
      </c>
      <c r="B5379" s="1" t="n">
        <v>45084</v>
      </c>
      <c r="C5379" s="1" t="n">
        <v>45192</v>
      </c>
      <c r="D5379" t="inlineStr">
        <is>
          <t>ÖSTERGÖTLANDS LÄN</t>
        </is>
      </c>
      <c r="E5379" t="inlineStr">
        <is>
          <t>MOTALA</t>
        </is>
      </c>
      <c r="G5379" t="n">
        <v>7.8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24806-2023</t>
        </is>
      </c>
      <c r="B5380" s="1" t="n">
        <v>45084</v>
      </c>
      <c r="C5380" s="1" t="n">
        <v>45192</v>
      </c>
      <c r="D5380" t="inlineStr">
        <is>
          <t>ÖSTERGÖTLANDS LÄN</t>
        </is>
      </c>
      <c r="E5380" t="inlineStr">
        <is>
          <t>FINSPÅNG</t>
        </is>
      </c>
      <c r="G5380" t="n">
        <v>0.8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25729-2023</t>
        </is>
      </c>
      <c r="B5381" s="1" t="n">
        <v>45084</v>
      </c>
      <c r="C5381" s="1" t="n">
        <v>45192</v>
      </c>
      <c r="D5381" t="inlineStr">
        <is>
          <t>ÖSTERGÖTLANDS LÄN</t>
        </is>
      </c>
      <c r="E5381" t="inlineStr">
        <is>
          <t>ÖDESHÖG</t>
        </is>
      </c>
      <c r="G5381" t="n">
        <v>2.3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24658-2023</t>
        </is>
      </c>
      <c r="B5382" s="1" t="n">
        <v>45084</v>
      </c>
      <c r="C5382" s="1" t="n">
        <v>45192</v>
      </c>
      <c r="D5382" t="inlineStr">
        <is>
          <t>ÖSTERGÖTLANDS LÄN</t>
        </is>
      </c>
      <c r="E5382" t="inlineStr">
        <is>
          <t>KINDA</t>
        </is>
      </c>
      <c r="G5382" t="n">
        <v>1.7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24757-2023</t>
        </is>
      </c>
      <c r="B5383" s="1" t="n">
        <v>45084</v>
      </c>
      <c r="C5383" s="1" t="n">
        <v>45192</v>
      </c>
      <c r="D5383" t="inlineStr">
        <is>
          <t>ÖSTERGÖTLANDS LÄN</t>
        </is>
      </c>
      <c r="E5383" t="inlineStr">
        <is>
          <t>VALDEMARSVIK</t>
        </is>
      </c>
      <c r="G5383" t="n">
        <v>2.2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24800-2023</t>
        </is>
      </c>
      <c r="B5384" s="1" t="n">
        <v>45084</v>
      </c>
      <c r="C5384" s="1" t="n">
        <v>45192</v>
      </c>
      <c r="D5384" t="inlineStr">
        <is>
          <t>ÖSTERGÖTLANDS LÄN</t>
        </is>
      </c>
      <c r="E5384" t="inlineStr">
        <is>
          <t>LINKÖPING</t>
        </is>
      </c>
      <c r="F5384" t="inlineStr">
        <is>
          <t>Övriga Aktiebolag</t>
        </is>
      </c>
      <c r="G5384" t="n">
        <v>0.8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24903-2023</t>
        </is>
      </c>
      <c r="B5385" s="1" t="n">
        <v>45085</v>
      </c>
      <c r="C5385" s="1" t="n">
        <v>45192</v>
      </c>
      <c r="D5385" t="inlineStr">
        <is>
          <t>ÖSTERGÖTLANDS LÄN</t>
        </is>
      </c>
      <c r="E5385" t="inlineStr">
        <is>
          <t>KINDA</t>
        </is>
      </c>
      <c r="G5385" t="n">
        <v>1.8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24983-2023</t>
        </is>
      </c>
      <c r="B5386" s="1" t="n">
        <v>45085</v>
      </c>
      <c r="C5386" s="1" t="n">
        <v>45192</v>
      </c>
      <c r="D5386" t="inlineStr">
        <is>
          <t>ÖSTERGÖTLANDS LÄN</t>
        </is>
      </c>
      <c r="E5386" t="inlineStr">
        <is>
          <t>YDRE</t>
        </is>
      </c>
      <c r="G5386" t="n">
        <v>0.8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25291-2023</t>
        </is>
      </c>
      <c r="B5387" s="1" t="n">
        <v>45086</v>
      </c>
      <c r="C5387" s="1" t="n">
        <v>45192</v>
      </c>
      <c r="D5387" t="inlineStr">
        <is>
          <t>ÖSTERGÖTLANDS LÄN</t>
        </is>
      </c>
      <c r="E5387" t="inlineStr">
        <is>
          <t>NORRKÖPING</t>
        </is>
      </c>
      <c r="F5387" t="inlineStr">
        <is>
          <t>Allmännings- och besparingsskogar</t>
        </is>
      </c>
      <c r="G5387" t="n">
        <v>2.1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25193-2023</t>
        </is>
      </c>
      <c r="B5388" s="1" t="n">
        <v>45086</v>
      </c>
      <c r="C5388" s="1" t="n">
        <v>45192</v>
      </c>
      <c r="D5388" t="inlineStr">
        <is>
          <t>ÖSTERGÖTLANDS LÄN</t>
        </is>
      </c>
      <c r="E5388" t="inlineStr">
        <is>
          <t>FINSPÅNG</t>
        </is>
      </c>
      <c r="G5388" t="n">
        <v>4.6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25274-2023</t>
        </is>
      </c>
      <c r="B5389" s="1" t="n">
        <v>45086</v>
      </c>
      <c r="C5389" s="1" t="n">
        <v>45192</v>
      </c>
      <c r="D5389" t="inlineStr">
        <is>
          <t>ÖSTERGÖTLANDS LÄN</t>
        </is>
      </c>
      <c r="E5389" t="inlineStr">
        <is>
          <t>BOXHOLM</t>
        </is>
      </c>
      <c r="G5389" t="n">
        <v>3.1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25097-2023</t>
        </is>
      </c>
      <c r="B5390" s="1" t="n">
        <v>45086</v>
      </c>
      <c r="C5390" s="1" t="n">
        <v>45192</v>
      </c>
      <c r="D5390" t="inlineStr">
        <is>
          <t>ÖSTERGÖTLANDS LÄN</t>
        </is>
      </c>
      <c r="E5390" t="inlineStr">
        <is>
          <t>LINKÖPING</t>
        </is>
      </c>
      <c r="G5390" t="n">
        <v>1.4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25093-2023</t>
        </is>
      </c>
      <c r="B5391" s="1" t="n">
        <v>45086</v>
      </c>
      <c r="C5391" s="1" t="n">
        <v>45192</v>
      </c>
      <c r="D5391" t="inlineStr">
        <is>
          <t>ÖSTERGÖTLANDS LÄN</t>
        </is>
      </c>
      <c r="E5391" t="inlineStr">
        <is>
          <t>LINKÖPING</t>
        </is>
      </c>
      <c r="G5391" t="n">
        <v>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25196-2023</t>
        </is>
      </c>
      <c r="B5392" s="1" t="n">
        <v>45086</v>
      </c>
      <c r="C5392" s="1" t="n">
        <v>45192</v>
      </c>
      <c r="D5392" t="inlineStr">
        <is>
          <t>ÖSTERGÖTLANDS LÄN</t>
        </is>
      </c>
      <c r="E5392" t="inlineStr">
        <is>
          <t>FINSPÅNG</t>
        </is>
      </c>
      <c r="G5392" t="n">
        <v>4.6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25226-2023</t>
        </is>
      </c>
      <c r="B5393" s="1" t="n">
        <v>45086</v>
      </c>
      <c r="C5393" s="1" t="n">
        <v>45192</v>
      </c>
      <c r="D5393" t="inlineStr">
        <is>
          <t>ÖSTERGÖTLANDS LÄN</t>
        </is>
      </c>
      <c r="E5393" t="inlineStr">
        <is>
          <t>BOXHOLM</t>
        </is>
      </c>
      <c r="G5393" t="n">
        <v>4.1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25596-2023</t>
        </is>
      </c>
      <c r="B5394" s="1" t="n">
        <v>45089</v>
      </c>
      <c r="C5394" s="1" t="n">
        <v>45192</v>
      </c>
      <c r="D5394" t="inlineStr">
        <is>
          <t>ÖSTERGÖTLANDS LÄN</t>
        </is>
      </c>
      <c r="E5394" t="inlineStr">
        <is>
          <t>KINDA</t>
        </is>
      </c>
      <c r="G5394" t="n">
        <v>5.9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25548-2023</t>
        </is>
      </c>
      <c r="B5395" s="1" t="n">
        <v>45089</v>
      </c>
      <c r="C5395" s="1" t="n">
        <v>45192</v>
      </c>
      <c r="D5395" t="inlineStr">
        <is>
          <t>ÖSTERGÖTLANDS LÄN</t>
        </is>
      </c>
      <c r="E5395" t="inlineStr">
        <is>
          <t>ÅTVIDABERG</t>
        </is>
      </c>
      <c r="G5395" t="n">
        <v>18.7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25556-2023</t>
        </is>
      </c>
      <c r="B5396" s="1" t="n">
        <v>45089</v>
      </c>
      <c r="C5396" s="1" t="n">
        <v>45192</v>
      </c>
      <c r="D5396" t="inlineStr">
        <is>
          <t>ÖSTERGÖTLANDS LÄN</t>
        </is>
      </c>
      <c r="E5396" t="inlineStr">
        <is>
          <t>NORRKÖPING</t>
        </is>
      </c>
      <c r="F5396" t="inlineStr">
        <is>
          <t>Holmen skog AB</t>
        </is>
      </c>
      <c r="G5396" t="n">
        <v>0.7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26609-2023</t>
        </is>
      </c>
      <c r="B5397" s="1" t="n">
        <v>45089</v>
      </c>
      <c r="C5397" s="1" t="n">
        <v>45192</v>
      </c>
      <c r="D5397" t="inlineStr">
        <is>
          <t>ÖSTERGÖTLANDS LÄN</t>
        </is>
      </c>
      <c r="E5397" t="inlineStr">
        <is>
          <t>KINDA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25418-2023</t>
        </is>
      </c>
      <c r="B5398" s="1" t="n">
        <v>45089</v>
      </c>
      <c r="C5398" s="1" t="n">
        <v>45192</v>
      </c>
      <c r="D5398" t="inlineStr">
        <is>
          <t>ÖSTERGÖTLANDS LÄN</t>
        </is>
      </c>
      <c r="E5398" t="inlineStr">
        <is>
          <t>LINKÖPING</t>
        </is>
      </c>
      <c r="F5398" t="inlineStr">
        <is>
          <t>Övriga Aktiebolag</t>
        </is>
      </c>
      <c r="G5398" t="n">
        <v>2.4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25948-2023</t>
        </is>
      </c>
      <c r="B5399" s="1" t="n">
        <v>45090</v>
      </c>
      <c r="C5399" s="1" t="n">
        <v>45192</v>
      </c>
      <c r="D5399" t="inlineStr">
        <is>
          <t>ÖSTERGÖTLANDS LÄN</t>
        </is>
      </c>
      <c r="E5399" t="inlineStr">
        <is>
          <t>LINKÖPING</t>
        </is>
      </c>
      <c r="G5399" t="n">
        <v>1.1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25790-2023</t>
        </is>
      </c>
      <c r="B5400" s="1" t="n">
        <v>45090</v>
      </c>
      <c r="C5400" s="1" t="n">
        <v>45192</v>
      </c>
      <c r="D5400" t="inlineStr">
        <is>
          <t>ÖSTERGÖTLANDS LÄN</t>
        </is>
      </c>
      <c r="E5400" t="inlineStr">
        <is>
          <t>SÖDERKÖPING</t>
        </is>
      </c>
      <c r="G5400" t="n">
        <v>7.9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25844-2023</t>
        </is>
      </c>
      <c r="B5401" s="1" t="n">
        <v>45090</v>
      </c>
      <c r="C5401" s="1" t="n">
        <v>45192</v>
      </c>
      <c r="D5401" t="inlineStr">
        <is>
          <t>ÖSTERGÖTLANDS LÄN</t>
        </is>
      </c>
      <c r="E5401" t="inlineStr">
        <is>
          <t>YDRE</t>
        </is>
      </c>
      <c r="F5401" t="inlineStr">
        <is>
          <t>Sveaskog</t>
        </is>
      </c>
      <c r="G5401" t="n">
        <v>1.3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25952-2023</t>
        </is>
      </c>
      <c r="B5402" s="1" t="n">
        <v>45090</v>
      </c>
      <c r="C5402" s="1" t="n">
        <v>45192</v>
      </c>
      <c r="D5402" t="inlineStr">
        <is>
          <t>ÖSTERGÖTLANDS LÄN</t>
        </is>
      </c>
      <c r="E5402" t="inlineStr">
        <is>
          <t>ÅTVIDABERG</t>
        </is>
      </c>
      <c r="G5402" t="n">
        <v>9.5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26909-2023</t>
        </is>
      </c>
      <c r="B5403" s="1" t="n">
        <v>45090</v>
      </c>
      <c r="C5403" s="1" t="n">
        <v>45192</v>
      </c>
      <c r="D5403" t="inlineStr">
        <is>
          <t>ÖSTERGÖTLANDS LÄN</t>
        </is>
      </c>
      <c r="E5403" t="inlineStr">
        <is>
          <t>ÅTVIDABERG</t>
        </is>
      </c>
      <c r="G5403" t="n">
        <v>0.7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25841-2023</t>
        </is>
      </c>
      <c r="B5404" s="1" t="n">
        <v>45090</v>
      </c>
      <c r="C5404" s="1" t="n">
        <v>45192</v>
      </c>
      <c r="D5404" t="inlineStr">
        <is>
          <t>ÖSTERGÖTLANDS LÄN</t>
        </is>
      </c>
      <c r="E5404" t="inlineStr">
        <is>
          <t>YDRE</t>
        </is>
      </c>
      <c r="F5404" t="inlineStr">
        <is>
          <t>Sveaskog</t>
        </is>
      </c>
      <c r="G5404" t="n">
        <v>1.6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25982-2023</t>
        </is>
      </c>
      <c r="B5405" s="1" t="n">
        <v>45090</v>
      </c>
      <c r="C5405" s="1" t="n">
        <v>45192</v>
      </c>
      <c r="D5405" t="inlineStr">
        <is>
          <t>ÖSTERGÖTLANDS LÄN</t>
        </is>
      </c>
      <c r="E5405" t="inlineStr">
        <is>
          <t>NORRKÖPING</t>
        </is>
      </c>
      <c r="F5405" t="inlineStr">
        <is>
          <t>Allmännings- och besparingsskogar</t>
        </is>
      </c>
      <c r="G5405" t="n">
        <v>1.8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26911-2023</t>
        </is>
      </c>
      <c r="B5406" s="1" t="n">
        <v>45090</v>
      </c>
      <c r="C5406" s="1" t="n">
        <v>45192</v>
      </c>
      <c r="D5406" t="inlineStr">
        <is>
          <t>ÖSTERGÖTLANDS LÄN</t>
        </is>
      </c>
      <c r="E5406" t="inlineStr">
        <is>
          <t>ÅTVIDABERG</t>
        </is>
      </c>
      <c r="G5406" t="n">
        <v>1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26194-2023</t>
        </is>
      </c>
      <c r="B5407" s="1" t="n">
        <v>45091</v>
      </c>
      <c r="C5407" s="1" t="n">
        <v>45192</v>
      </c>
      <c r="D5407" t="inlineStr">
        <is>
          <t>ÖSTERGÖTLANDS LÄN</t>
        </is>
      </c>
      <c r="E5407" t="inlineStr">
        <is>
          <t>FINSPÅNG</t>
        </is>
      </c>
      <c r="G5407" t="n">
        <v>1.4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26152-2023</t>
        </is>
      </c>
      <c r="B5408" s="1" t="n">
        <v>45091</v>
      </c>
      <c r="C5408" s="1" t="n">
        <v>45192</v>
      </c>
      <c r="D5408" t="inlineStr">
        <is>
          <t>ÖSTERGÖTLANDS LÄN</t>
        </is>
      </c>
      <c r="E5408" t="inlineStr">
        <is>
          <t>FINSPÅNG</t>
        </is>
      </c>
      <c r="G5408" t="n">
        <v>3.9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26300-2023</t>
        </is>
      </c>
      <c r="B5409" s="1" t="n">
        <v>45091</v>
      </c>
      <c r="C5409" s="1" t="n">
        <v>45192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2.5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26136-2023</t>
        </is>
      </c>
      <c r="B5410" s="1" t="n">
        <v>45091</v>
      </c>
      <c r="C5410" s="1" t="n">
        <v>45192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Holmen skog AB</t>
        </is>
      </c>
      <c r="G5410" t="n">
        <v>1.4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26977-2023</t>
        </is>
      </c>
      <c r="B5411" s="1" t="n">
        <v>45091</v>
      </c>
      <c r="C5411" s="1" t="n">
        <v>45192</v>
      </c>
      <c r="D5411" t="inlineStr">
        <is>
          <t>ÖSTERGÖTLANDS LÄN</t>
        </is>
      </c>
      <c r="E5411" t="inlineStr">
        <is>
          <t>NORRKÖPING</t>
        </is>
      </c>
      <c r="F5411" t="inlineStr">
        <is>
          <t>Allmännings- och besparingsskogar</t>
        </is>
      </c>
      <c r="G5411" t="n">
        <v>7.4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26388-2023</t>
        </is>
      </c>
      <c r="B5412" s="1" t="n">
        <v>45092</v>
      </c>
      <c r="C5412" s="1" t="n">
        <v>45192</v>
      </c>
      <c r="D5412" t="inlineStr">
        <is>
          <t>ÖSTERGÖTLANDS LÄN</t>
        </is>
      </c>
      <c r="E5412" t="inlineStr">
        <is>
          <t>NORRKÖPING</t>
        </is>
      </c>
      <c r="G5412" t="n">
        <v>1.9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26596-2023</t>
        </is>
      </c>
      <c r="B5413" s="1" t="n">
        <v>45092</v>
      </c>
      <c r="C5413" s="1" t="n">
        <v>45192</v>
      </c>
      <c r="D5413" t="inlineStr">
        <is>
          <t>ÖSTERGÖTLANDS LÄN</t>
        </is>
      </c>
      <c r="E5413" t="inlineStr">
        <is>
          <t>SÖDERKÖPING</t>
        </is>
      </c>
      <c r="G5413" t="n">
        <v>6.3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26638-2023</t>
        </is>
      </c>
      <c r="B5414" s="1" t="n">
        <v>45092</v>
      </c>
      <c r="C5414" s="1" t="n">
        <v>45192</v>
      </c>
      <c r="D5414" t="inlineStr">
        <is>
          <t>ÖSTERGÖTLANDS LÄN</t>
        </is>
      </c>
      <c r="E5414" t="inlineStr">
        <is>
          <t>BOXHOLM</t>
        </is>
      </c>
      <c r="F5414" t="inlineStr">
        <is>
          <t>Allmännings- och besparingsskogar</t>
        </is>
      </c>
      <c r="G5414" t="n">
        <v>8.4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27220-2023</t>
        </is>
      </c>
      <c r="B5415" s="1" t="n">
        <v>45092</v>
      </c>
      <c r="C5415" s="1" t="n">
        <v>45192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27250-2023</t>
        </is>
      </c>
      <c r="B5416" s="1" t="n">
        <v>45092</v>
      </c>
      <c r="C5416" s="1" t="n">
        <v>45192</v>
      </c>
      <c r="D5416" t="inlineStr">
        <is>
          <t>ÖSTERGÖTLANDS LÄN</t>
        </is>
      </c>
      <c r="E5416" t="inlineStr">
        <is>
          <t>MOTALA</t>
        </is>
      </c>
      <c r="F5416" t="inlineStr">
        <is>
          <t>Övriga statliga verk och myndigheter</t>
        </is>
      </c>
      <c r="G5416" t="n">
        <v>6.8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26404-2023</t>
        </is>
      </c>
      <c r="B5417" s="1" t="n">
        <v>45092</v>
      </c>
      <c r="C5417" s="1" t="n">
        <v>45192</v>
      </c>
      <c r="D5417" t="inlineStr">
        <is>
          <t>ÖSTERGÖTLANDS LÄN</t>
        </is>
      </c>
      <c r="E5417" t="inlineStr">
        <is>
          <t>NORRKÖPING</t>
        </is>
      </c>
      <c r="G5417" t="n">
        <v>5.8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26592-2023</t>
        </is>
      </c>
      <c r="B5418" s="1" t="n">
        <v>45092</v>
      </c>
      <c r="C5418" s="1" t="n">
        <v>45192</v>
      </c>
      <c r="D5418" t="inlineStr">
        <is>
          <t>ÖSTERGÖTLANDS LÄN</t>
        </is>
      </c>
      <c r="E5418" t="inlineStr">
        <is>
          <t>ÅTVIDABERG</t>
        </is>
      </c>
      <c r="G5418" t="n">
        <v>0.5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27233-2023</t>
        </is>
      </c>
      <c r="B5419" s="1" t="n">
        <v>45092</v>
      </c>
      <c r="C5419" s="1" t="n">
        <v>45192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4.6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26594-2023</t>
        </is>
      </c>
      <c r="B5420" s="1" t="n">
        <v>45092</v>
      </c>
      <c r="C5420" s="1" t="n">
        <v>45192</v>
      </c>
      <c r="D5420" t="inlineStr">
        <is>
          <t>ÖSTERGÖTLANDS LÄN</t>
        </is>
      </c>
      <c r="E5420" t="inlineStr">
        <is>
          <t>SÖDERKÖPING</t>
        </is>
      </c>
      <c r="G5420" t="n">
        <v>5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26821-2023</t>
        </is>
      </c>
      <c r="B5421" s="1" t="n">
        <v>45093</v>
      </c>
      <c r="C5421" s="1" t="n">
        <v>45192</v>
      </c>
      <c r="D5421" t="inlineStr">
        <is>
          <t>ÖSTERGÖTLANDS LÄN</t>
        </is>
      </c>
      <c r="E5421" t="inlineStr">
        <is>
          <t>VALDEMARSVIK</t>
        </is>
      </c>
      <c r="G5421" t="n">
        <v>1.7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26915-2023</t>
        </is>
      </c>
      <c r="B5422" s="1" t="n">
        <v>45093</v>
      </c>
      <c r="C5422" s="1" t="n">
        <v>45192</v>
      </c>
      <c r="D5422" t="inlineStr">
        <is>
          <t>ÖSTERGÖTLANDS LÄN</t>
        </is>
      </c>
      <c r="E5422" t="inlineStr">
        <is>
          <t>SÖDERKÖPING</t>
        </is>
      </c>
      <c r="G5422" t="n">
        <v>5.7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26928-2023</t>
        </is>
      </c>
      <c r="B5423" s="1" t="n">
        <v>45093</v>
      </c>
      <c r="C5423" s="1" t="n">
        <v>45192</v>
      </c>
      <c r="D5423" t="inlineStr">
        <is>
          <t>ÖSTERGÖTLANDS LÄN</t>
        </is>
      </c>
      <c r="E5423" t="inlineStr">
        <is>
          <t>KINDA</t>
        </is>
      </c>
      <c r="G5423" t="n">
        <v>2.2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27586-2023</t>
        </is>
      </c>
      <c r="B5424" s="1" t="n">
        <v>45093</v>
      </c>
      <c r="C5424" s="1" t="n">
        <v>45192</v>
      </c>
      <c r="D5424" t="inlineStr">
        <is>
          <t>ÖSTERGÖTLANDS LÄN</t>
        </is>
      </c>
      <c r="E5424" t="inlineStr">
        <is>
          <t>NORRKÖPING</t>
        </is>
      </c>
      <c r="F5424" t="inlineStr">
        <is>
          <t>Allmännings- och besparingsskogar</t>
        </is>
      </c>
      <c r="G5424" t="n">
        <v>5.5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26678-2023</t>
        </is>
      </c>
      <c r="B5425" s="1" t="n">
        <v>45093</v>
      </c>
      <c r="C5425" s="1" t="n">
        <v>45192</v>
      </c>
      <c r="D5425" t="inlineStr">
        <is>
          <t>ÖSTERGÖTLANDS LÄN</t>
        </is>
      </c>
      <c r="E5425" t="inlineStr">
        <is>
          <t>VALDEMARSVIK</t>
        </is>
      </c>
      <c r="G5425" t="n">
        <v>2.1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26811-2023</t>
        </is>
      </c>
      <c r="B5426" s="1" t="n">
        <v>45093</v>
      </c>
      <c r="C5426" s="1" t="n">
        <v>45192</v>
      </c>
      <c r="D5426" t="inlineStr">
        <is>
          <t>ÖSTERGÖTLANDS LÄN</t>
        </is>
      </c>
      <c r="E5426" t="inlineStr">
        <is>
          <t>VALDEMARSVIK</t>
        </is>
      </c>
      <c r="G5426" t="n">
        <v>4.4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26820-2023</t>
        </is>
      </c>
      <c r="B5427" s="1" t="n">
        <v>45093</v>
      </c>
      <c r="C5427" s="1" t="n">
        <v>45192</v>
      </c>
      <c r="D5427" t="inlineStr">
        <is>
          <t>ÖSTERGÖTLANDS LÄN</t>
        </is>
      </c>
      <c r="E5427" t="inlineStr">
        <is>
          <t>VALDEMARSVIK</t>
        </is>
      </c>
      <c r="G5427" t="n">
        <v>2.9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26832-2023</t>
        </is>
      </c>
      <c r="B5428" s="1" t="n">
        <v>45093</v>
      </c>
      <c r="C5428" s="1" t="n">
        <v>45192</v>
      </c>
      <c r="D5428" t="inlineStr">
        <is>
          <t>ÖSTERGÖTLANDS LÄN</t>
        </is>
      </c>
      <c r="E5428" t="inlineStr">
        <is>
          <t>NORRKÖPING</t>
        </is>
      </c>
      <c r="G5428" t="n">
        <v>0.8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26845-2023</t>
        </is>
      </c>
      <c r="B5429" s="1" t="n">
        <v>45093</v>
      </c>
      <c r="C5429" s="1" t="n">
        <v>45192</v>
      </c>
      <c r="D5429" t="inlineStr">
        <is>
          <t>ÖSTERGÖTLANDS LÄN</t>
        </is>
      </c>
      <c r="E5429" t="inlineStr">
        <is>
          <t>NORRKÖPING</t>
        </is>
      </c>
      <c r="F5429" t="inlineStr">
        <is>
          <t>Holmen skog AB</t>
        </is>
      </c>
      <c r="G5429" t="n">
        <v>1.5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26889-2023</t>
        </is>
      </c>
      <c r="B5430" s="1" t="n">
        <v>45093</v>
      </c>
      <c r="C5430" s="1" t="n">
        <v>45192</v>
      </c>
      <c r="D5430" t="inlineStr">
        <is>
          <t>ÖSTERGÖTLANDS LÄN</t>
        </is>
      </c>
      <c r="E5430" t="inlineStr">
        <is>
          <t>YDRE</t>
        </is>
      </c>
      <c r="F5430" t="inlineStr">
        <is>
          <t>Övriga Aktiebolag</t>
        </is>
      </c>
      <c r="G5430" t="n">
        <v>1.2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26912-2023</t>
        </is>
      </c>
      <c r="B5431" s="1" t="n">
        <v>45093</v>
      </c>
      <c r="C5431" s="1" t="n">
        <v>45192</v>
      </c>
      <c r="D5431" t="inlineStr">
        <is>
          <t>ÖSTERGÖTLANDS LÄN</t>
        </is>
      </c>
      <c r="E5431" t="inlineStr">
        <is>
          <t>SÖDERKÖPING</t>
        </is>
      </c>
      <c r="G5431" t="n">
        <v>1.1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26934-2023</t>
        </is>
      </c>
      <c r="B5432" s="1" t="n">
        <v>45093</v>
      </c>
      <c r="C5432" s="1" t="n">
        <v>45192</v>
      </c>
      <c r="D5432" t="inlineStr">
        <is>
          <t>ÖSTERGÖTLANDS LÄN</t>
        </is>
      </c>
      <c r="E5432" t="inlineStr">
        <is>
          <t>VALDEMARSVIK</t>
        </is>
      </c>
      <c r="G5432" t="n">
        <v>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26942-2023</t>
        </is>
      </c>
      <c r="B5433" s="1" t="n">
        <v>45093</v>
      </c>
      <c r="C5433" s="1" t="n">
        <v>45192</v>
      </c>
      <c r="D5433" t="inlineStr">
        <is>
          <t>ÖSTERGÖTLANDS LÄN</t>
        </is>
      </c>
      <c r="E5433" t="inlineStr">
        <is>
          <t>VALDEMARSVIK</t>
        </is>
      </c>
      <c r="G5433" t="n">
        <v>3.5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27579-2023</t>
        </is>
      </c>
      <c r="B5434" s="1" t="n">
        <v>45093</v>
      </c>
      <c r="C5434" s="1" t="n">
        <v>45192</v>
      </c>
      <c r="D5434" t="inlineStr">
        <is>
          <t>ÖSTERGÖTLANDS LÄN</t>
        </is>
      </c>
      <c r="E5434" t="inlineStr">
        <is>
          <t>NORRKÖPING</t>
        </is>
      </c>
      <c r="F5434" t="inlineStr">
        <is>
          <t>Allmännings- och besparingsskogar</t>
        </is>
      </c>
      <c r="G5434" t="n">
        <v>5.4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26809-2023</t>
        </is>
      </c>
      <c r="B5435" s="1" t="n">
        <v>45093</v>
      </c>
      <c r="C5435" s="1" t="n">
        <v>45192</v>
      </c>
      <c r="D5435" t="inlineStr">
        <is>
          <t>ÖSTERGÖTLANDS LÄN</t>
        </is>
      </c>
      <c r="E5435" t="inlineStr">
        <is>
          <t>KINDA</t>
        </is>
      </c>
      <c r="G5435" t="n">
        <v>2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26857-2023</t>
        </is>
      </c>
      <c r="B5436" s="1" t="n">
        <v>45093</v>
      </c>
      <c r="C5436" s="1" t="n">
        <v>45192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Holmen skog AB</t>
        </is>
      </c>
      <c r="G5436" t="n">
        <v>0.6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26968-2023</t>
        </is>
      </c>
      <c r="B5437" s="1" t="n">
        <v>45093</v>
      </c>
      <c r="C5437" s="1" t="n">
        <v>45192</v>
      </c>
      <c r="D5437" t="inlineStr">
        <is>
          <t>ÖSTERGÖTLANDS LÄN</t>
        </is>
      </c>
      <c r="E5437" t="inlineStr">
        <is>
          <t>VALDEMARSVIK</t>
        </is>
      </c>
      <c r="G5437" t="n">
        <v>2.3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26866-2023</t>
        </is>
      </c>
      <c r="B5438" s="1" t="n">
        <v>45093</v>
      </c>
      <c r="C5438" s="1" t="n">
        <v>45192</v>
      </c>
      <c r="D5438" t="inlineStr">
        <is>
          <t>ÖSTERGÖTLANDS LÄN</t>
        </is>
      </c>
      <c r="E5438" t="inlineStr">
        <is>
          <t>NORRKÖPING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26875-2023</t>
        </is>
      </c>
      <c r="B5439" s="1" t="n">
        <v>45093</v>
      </c>
      <c r="C5439" s="1" t="n">
        <v>45192</v>
      </c>
      <c r="D5439" t="inlineStr">
        <is>
          <t>ÖSTERGÖTLANDS LÄN</t>
        </is>
      </c>
      <c r="E5439" t="inlineStr">
        <is>
          <t>LINKÖPING</t>
        </is>
      </c>
      <c r="G5439" t="n">
        <v>0.9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26933-2023</t>
        </is>
      </c>
      <c r="B5440" s="1" t="n">
        <v>45093</v>
      </c>
      <c r="C5440" s="1" t="n">
        <v>45192</v>
      </c>
      <c r="D5440" t="inlineStr">
        <is>
          <t>ÖSTERGÖTLANDS LÄN</t>
        </is>
      </c>
      <c r="E5440" t="inlineStr">
        <is>
          <t>VALDEMARSVIK</t>
        </is>
      </c>
      <c r="G5440" t="n">
        <v>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26939-2023</t>
        </is>
      </c>
      <c r="B5441" s="1" t="n">
        <v>45093</v>
      </c>
      <c r="C5441" s="1" t="n">
        <v>45192</v>
      </c>
      <c r="D5441" t="inlineStr">
        <is>
          <t>ÖSTERGÖTLANDS LÄN</t>
        </is>
      </c>
      <c r="E5441" t="inlineStr">
        <is>
          <t>VALDEMARSVIK</t>
        </is>
      </c>
      <c r="G5441" t="n">
        <v>0.8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26973-2023</t>
        </is>
      </c>
      <c r="B5442" s="1" t="n">
        <v>45093</v>
      </c>
      <c r="C5442" s="1" t="n">
        <v>45192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Naturvårdsverket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27501-2023</t>
        </is>
      </c>
      <c r="B5443" s="1" t="n">
        <v>45095</v>
      </c>
      <c r="C5443" s="1" t="n">
        <v>45192</v>
      </c>
      <c r="D5443" t="inlineStr">
        <is>
          <t>ÖSTERGÖTLANDS LÄN</t>
        </is>
      </c>
      <c r="E5443" t="inlineStr">
        <is>
          <t>FINSPÅNG</t>
        </is>
      </c>
      <c r="F5443" t="inlineStr">
        <is>
          <t>Övriga Aktiebolag</t>
        </is>
      </c>
      <c r="G5443" t="n">
        <v>0.7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27892-2023</t>
        </is>
      </c>
      <c r="B5444" s="1" t="n">
        <v>45095</v>
      </c>
      <c r="C5444" s="1" t="n">
        <v>45192</v>
      </c>
      <c r="D5444" t="inlineStr">
        <is>
          <t>ÖSTERGÖTLANDS LÄN</t>
        </is>
      </c>
      <c r="E5444" t="inlineStr">
        <is>
          <t>FINSPÅNG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27697-2023</t>
        </is>
      </c>
      <c r="B5445" s="1" t="n">
        <v>45095</v>
      </c>
      <c r="C5445" s="1" t="n">
        <v>45192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Övriga Aktiebolag</t>
        </is>
      </c>
      <c r="G5445" t="n">
        <v>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28020-2023</t>
        </is>
      </c>
      <c r="B5446" s="1" t="n">
        <v>45095</v>
      </c>
      <c r="C5446" s="1" t="n">
        <v>45192</v>
      </c>
      <c r="D5446" t="inlineStr">
        <is>
          <t>ÖSTERGÖTLANDS LÄN</t>
        </is>
      </c>
      <c r="E5446" t="inlineStr">
        <is>
          <t>FINSPÅNG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27698-2023</t>
        </is>
      </c>
      <c r="B5447" s="1" t="n">
        <v>45095</v>
      </c>
      <c r="C5447" s="1" t="n">
        <v>45192</v>
      </c>
      <c r="D5447" t="inlineStr">
        <is>
          <t>ÖSTERGÖTLANDS LÄN</t>
        </is>
      </c>
      <c r="E5447" t="inlineStr">
        <is>
          <t>FINSPÅNG</t>
        </is>
      </c>
      <c r="G5447" t="n">
        <v>1.2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28024-2023</t>
        </is>
      </c>
      <c r="B5448" s="1" t="n">
        <v>45095</v>
      </c>
      <c r="C5448" s="1" t="n">
        <v>45192</v>
      </c>
      <c r="D5448" t="inlineStr">
        <is>
          <t>ÖSTERGÖTLANDS LÄN</t>
        </is>
      </c>
      <c r="E5448" t="inlineStr">
        <is>
          <t>FINSPÅNG</t>
        </is>
      </c>
      <c r="G5448" t="n">
        <v>3.2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27487-2023</t>
        </is>
      </c>
      <c r="B5449" s="1" t="n">
        <v>45095</v>
      </c>
      <c r="C5449" s="1" t="n">
        <v>45192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Övriga Aktiebolag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27699-2023</t>
        </is>
      </c>
      <c r="B5450" s="1" t="n">
        <v>45095</v>
      </c>
      <c r="C5450" s="1" t="n">
        <v>45192</v>
      </c>
      <c r="D5450" t="inlineStr">
        <is>
          <t>ÖSTERGÖTLANDS LÄN</t>
        </is>
      </c>
      <c r="E5450" t="inlineStr">
        <is>
          <t>FINSPÅNG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27152-2023</t>
        </is>
      </c>
      <c r="B5451" s="1" t="n">
        <v>45096</v>
      </c>
      <c r="C5451" s="1" t="n">
        <v>45192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Holmen skog AB</t>
        </is>
      </c>
      <c r="G5451" t="n">
        <v>2.6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29010-2023</t>
        </is>
      </c>
      <c r="B5452" s="1" t="n">
        <v>45096</v>
      </c>
      <c r="C5452" s="1" t="n">
        <v>45192</v>
      </c>
      <c r="D5452" t="inlineStr">
        <is>
          <t>ÖSTERGÖTLANDS LÄN</t>
        </is>
      </c>
      <c r="E5452" t="inlineStr">
        <is>
          <t>NORRKÖPING</t>
        </is>
      </c>
      <c r="F5452" t="inlineStr">
        <is>
          <t>Allmännings- och besparingsskogar</t>
        </is>
      </c>
      <c r="G5452" t="n">
        <v>12.3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27164-2023</t>
        </is>
      </c>
      <c r="B5453" s="1" t="n">
        <v>45096</v>
      </c>
      <c r="C5453" s="1" t="n">
        <v>45192</v>
      </c>
      <c r="D5453" t="inlineStr">
        <is>
          <t>ÖSTERGÖTLANDS LÄN</t>
        </is>
      </c>
      <c r="E5453" t="inlineStr">
        <is>
          <t>YDRE</t>
        </is>
      </c>
      <c r="G5453" t="n">
        <v>4.1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27227-2023</t>
        </is>
      </c>
      <c r="B5454" s="1" t="n">
        <v>45096</v>
      </c>
      <c r="C5454" s="1" t="n">
        <v>45192</v>
      </c>
      <c r="D5454" t="inlineStr">
        <is>
          <t>ÖSTERGÖTLANDS LÄN</t>
        </is>
      </c>
      <c r="E5454" t="inlineStr">
        <is>
          <t>VALDEMARSVIK</t>
        </is>
      </c>
      <c r="G5454" t="n">
        <v>1.1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27288-2023</t>
        </is>
      </c>
      <c r="B5455" s="1" t="n">
        <v>45096</v>
      </c>
      <c r="C5455" s="1" t="n">
        <v>45192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Holmen skog AB</t>
        </is>
      </c>
      <c r="G5455" t="n">
        <v>0.6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27343-2023</t>
        </is>
      </c>
      <c r="B5456" s="1" t="n">
        <v>45096</v>
      </c>
      <c r="C5456" s="1" t="n">
        <v>45192</v>
      </c>
      <c r="D5456" t="inlineStr">
        <is>
          <t>ÖSTERGÖTLANDS LÄN</t>
        </is>
      </c>
      <c r="E5456" t="inlineStr">
        <is>
          <t>LINKÖPING</t>
        </is>
      </c>
      <c r="F5456" t="inlineStr">
        <is>
          <t>Allmännings- och besparingsskogar</t>
        </is>
      </c>
      <c r="G5456" t="n">
        <v>6.9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29004-2023</t>
        </is>
      </c>
      <c r="B5457" s="1" t="n">
        <v>45096</v>
      </c>
      <c r="C5457" s="1" t="n">
        <v>45192</v>
      </c>
      <c r="D5457" t="inlineStr">
        <is>
          <t>ÖSTERGÖTLANDS LÄN</t>
        </is>
      </c>
      <c r="E5457" t="inlineStr">
        <is>
          <t>NORRKÖPING</t>
        </is>
      </c>
      <c r="F5457" t="inlineStr">
        <is>
          <t>Allmännings- och besparingsskogar</t>
        </is>
      </c>
      <c r="G5457" t="n">
        <v>15.1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27060-2023</t>
        </is>
      </c>
      <c r="B5458" s="1" t="n">
        <v>45096</v>
      </c>
      <c r="C5458" s="1" t="n">
        <v>45192</v>
      </c>
      <c r="D5458" t="inlineStr">
        <is>
          <t>ÖSTERGÖTLANDS LÄN</t>
        </is>
      </c>
      <c r="E5458" t="inlineStr">
        <is>
          <t>KINDA</t>
        </is>
      </c>
      <c r="G5458" t="n">
        <v>2.6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27099-2023</t>
        </is>
      </c>
      <c r="B5459" s="1" t="n">
        <v>45096</v>
      </c>
      <c r="C5459" s="1" t="n">
        <v>45192</v>
      </c>
      <c r="D5459" t="inlineStr">
        <is>
          <t>ÖSTERGÖTLANDS LÄN</t>
        </is>
      </c>
      <c r="E5459" t="inlineStr">
        <is>
          <t>KINDA</t>
        </is>
      </c>
      <c r="G5459" t="n">
        <v>4.2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27106-2023</t>
        </is>
      </c>
      <c r="B5460" s="1" t="n">
        <v>45096</v>
      </c>
      <c r="C5460" s="1" t="n">
        <v>45192</v>
      </c>
      <c r="D5460" t="inlineStr">
        <is>
          <t>ÖSTERGÖTLANDS LÄN</t>
        </is>
      </c>
      <c r="E5460" t="inlineStr">
        <is>
          <t>FINSPÅNG</t>
        </is>
      </c>
      <c r="F5460" t="inlineStr">
        <is>
          <t>Naturvårdsverket</t>
        </is>
      </c>
      <c r="G5460" t="n">
        <v>4.4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27159-2023</t>
        </is>
      </c>
      <c r="B5461" s="1" t="n">
        <v>45096</v>
      </c>
      <c r="C5461" s="1" t="n">
        <v>45192</v>
      </c>
      <c r="D5461" t="inlineStr">
        <is>
          <t>ÖSTERGÖTLANDS LÄN</t>
        </is>
      </c>
      <c r="E5461" t="inlineStr">
        <is>
          <t>YDRE</t>
        </is>
      </c>
      <c r="G5461" t="n">
        <v>5.6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27236-2023</t>
        </is>
      </c>
      <c r="B5462" s="1" t="n">
        <v>45096</v>
      </c>
      <c r="C5462" s="1" t="n">
        <v>45192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1.1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27523-2023</t>
        </is>
      </c>
      <c r="B5463" s="1" t="n">
        <v>45097</v>
      </c>
      <c r="C5463" s="1" t="n">
        <v>45192</v>
      </c>
      <c r="D5463" t="inlineStr">
        <is>
          <t>ÖSTERGÖTLANDS LÄN</t>
        </is>
      </c>
      <c r="E5463" t="inlineStr">
        <is>
          <t>NORRKÖPING</t>
        </is>
      </c>
      <c r="F5463" t="inlineStr">
        <is>
          <t>Holmen skog AB</t>
        </is>
      </c>
      <c r="G5463" t="n">
        <v>1.2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27569-2023</t>
        </is>
      </c>
      <c r="B5464" s="1" t="n">
        <v>45097</v>
      </c>
      <c r="C5464" s="1" t="n">
        <v>45192</v>
      </c>
      <c r="D5464" t="inlineStr">
        <is>
          <t>ÖSTERGÖTLANDS LÄN</t>
        </is>
      </c>
      <c r="E5464" t="inlineStr">
        <is>
          <t>ÖDESHÖG</t>
        </is>
      </c>
      <c r="G5464" t="n">
        <v>1.4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27592-2023</t>
        </is>
      </c>
      <c r="B5465" s="1" t="n">
        <v>45097</v>
      </c>
      <c r="C5465" s="1" t="n">
        <v>45192</v>
      </c>
      <c r="D5465" t="inlineStr">
        <is>
          <t>ÖSTERGÖTLANDS LÄN</t>
        </is>
      </c>
      <c r="E5465" t="inlineStr">
        <is>
          <t>SÖDERKÖPING</t>
        </is>
      </c>
      <c r="G5465" t="n">
        <v>5.1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27643-2023</t>
        </is>
      </c>
      <c r="B5466" s="1" t="n">
        <v>45097</v>
      </c>
      <c r="C5466" s="1" t="n">
        <v>45192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27516-2023</t>
        </is>
      </c>
      <c r="B5467" s="1" t="n">
        <v>45097</v>
      </c>
      <c r="C5467" s="1" t="n">
        <v>45192</v>
      </c>
      <c r="D5467" t="inlineStr">
        <is>
          <t>ÖSTERGÖTLANDS LÄN</t>
        </is>
      </c>
      <c r="E5467" t="inlineStr">
        <is>
          <t>ÅTVIDABERG</t>
        </is>
      </c>
      <c r="G5467" t="n">
        <v>0.6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27656-2023</t>
        </is>
      </c>
      <c r="B5468" s="1" t="n">
        <v>45097</v>
      </c>
      <c r="C5468" s="1" t="n">
        <v>45192</v>
      </c>
      <c r="D5468" t="inlineStr">
        <is>
          <t>ÖSTERGÖTLANDS LÄN</t>
        </is>
      </c>
      <c r="E5468" t="inlineStr">
        <is>
          <t>MOTALA</t>
        </is>
      </c>
      <c r="G5468" t="n">
        <v>3.2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27666-2023</t>
        </is>
      </c>
      <c r="B5469" s="1" t="n">
        <v>45097</v>
      </c>
      <c r="C5469" s="1" t="n">
        <v>45192</v>
      </c>
      <c r="D5469" t="inlineStr">
        <is>
          <t>ÖSTERGÖTLANDS LÄN</t>
        </is>
      </c>
      <c r="E5469" t="inlineStr">
        <is>
          <t>ÅTVIDABERG</t>
        </is>
      </c>
      <c r="G5469" t="n">
        <v>0.5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27464-2023</t>
        </is>
      </c>
      <c r="B5470" s="1" t="n">
        <v>45097</v>
      </c>
      <c r="C5470" s="1" t="n">
        <v>45192</v>
      </c>
      <c r="D5470" t="inlineStr">
        <is>
          <t>ÖSTERGÖTLANDS LÄN</t>
        </is>
      </c>
      <c r="E5470" t="inlineStr">
        <is>
          <t>SÖDERKÖPING</t>
        </is>
      </c>
      <c r="G5470" t="n">
        <v>8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27514-2023</t>
        </is>
      </c>
      <c r="B5471" s="1" t="n">
        <v>45097</v>
      </c>
      <c r="C5471" s="1" t="n">
        <v>45192</v>
      </c>
      <c r="D5471" t="inlineStr">
        <is>
          <t>ÖSTERGÖTLANDS LÄN</t>
        </is>
      </c>
      <c r="E5471" t="inlineStr">
        <is>
          <t>KINDA</t>
        </is>
      </c>
      <c r="G5471" t="n">
        <v>4.9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27642-2023</t>
        </is>
      </c>
      <c r="B5472" s="1" t="n">
        <v>45097</v>
      </c>
      <c r="C5472" s="1" t="n">
        <v>45192</v>
      </c>
      <c r="D5472" t="inlineStr">
        <is>
          <t>ÖSTERGÖTLANDS LÄN</t>
        </is>
      </c>
      <c r="E5472" t="inlineStr">
        <is>
          <t>ÅTVIDABERG</t>
        </is>
      </c>
      <c r="G5472" t="n">
        <v>0.5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27664-2023</t>
        </is>
      </c>
      <c r="B5473" s="1" t="n">
        <v>45097</v>
      </c>
      <c r="C5473" s="1" t="n">
        <v>45192</v>
      </c>
      <c r="D5473" t="inlineStr">
        <is>
          <t>ÖSTERGÖTLANDS LÄN</t>
        </is>
      </c>
      <c r="E5473" t="inlineStr">
        <is>
          <t>ÅTVIDABERG</t>
        </is>
      </c>
      <c r="G5473" t="n">
        <v>1.8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27509-2023</t>
        </is>
      </c>
      <c r="B5474" s="1" t="n">
        <v>45097</v>
      </c>
      <c r="C5474" s="1" t="n">
        <v>45192</v>
      </c>
      <c r="D5474" t="inlineStr">
        <is>
          <t>ÖSTERGÖTLANDS LÄN</t>
        </is>
      </c>
      <c r="E5474" t="inlineStr">
        <is>
          <t>KINDA</t>
        </is>
      </c>
      <c r="G5474" t="n">
        <v>0.8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27513-2023</t>
        </is>
      </c>
      <c r="B5475" s="1" t="n">
        <v>45097</v>
      </c>
      <c r="C5475" s="1" t="n">
        <v>45192</v>
      </c>
      <c r="D5475" t="inlineStr">
        <is>
          <t>ÖSTERGÖTLANDS LÄN</t>
        </is>
      </c>
      <c r="E5475" t="inlineStr">
        <is>
          <t>ÅTVIDABERG</t>
        </is>
      </c>
      <c r="G5475" t="n">
        <v>0.9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27517-2023</t>
        </is>
      </c>
      <c r="B5476" s="1" t="n">
        <v>45097</v>
      </c>
      <c r="C5476" s="1" t="n">
        <v>45192</v>
      </c>
      <c r="D5476" t="inlineStr">
        <is>
          <t>ÖSTERGÖTLANDS LÄN</t>
        </is>
      </c>
      <c r="E5476" t="inlineStr">
        <is>
          <t>NORRKÖPING</t>
        </is>
      </c>
      <c r="F5476" t="inlineStr">
        <is>
          <t>Holmen skog AB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27598-2023</t>
        </is>
      </c>
      <c r="B5477" s="1" t="n">
        <v>45097</v>
      </c>
      <c r="C5477" s="1" t="n">
        <v>45192</v>
      </c>
      <c r="D5477" t="inlineStr">
        <is>
          <t>ÖSTERGÖTLANDS LÄN</t>
        </is>
      </c>
      <c r="E5477" t="inlineStr">
        <is>
          <t>SÖDERKÖPING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27603-2023</t>
        </is>
      </c>
      <c r="B5478" s="1" t="n">
        <v>45097</v>
      </c>
      <c r="C5478" s="1" t="n">
        <v>45192</v>
      </c>
      <c r="D5478" t="inlineStr">
        <is>
          <t>ÖSTERGÖTLANDS LÄN</t>
        </is>
      </c>
      <c r="E5478" t="inlineStr">
        <is>
          <t>FINSPÅNG</t>
        </is>
      </c>
      <c r="G5478" t="n">
        <v>1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27607-2023</t>
        </is>
      </c>
      <c r="B5479" s="1" t="n">
        <v>45097</v>
      </c>
      <c r="C5479" s="1" t="n">
        <v>45192</v>
      </c>
      <c r="D5479" t="inlineStr">
        <is>
          <t>ÖSTERGÖTLANDS LÄN</t>
        </is>
      </c>
      <c r="E5479" t="inlineStr">
        <is>
          <t>FINSPÅNG</t>
        </is>
      </c>
      <c r="G5479" t="n">
        <v>0.7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27987-2023</t>
        </is>
      </c>
      <c r="B5480" s="1" t="n">
        <v>45098</v>
      </c>
      <c r="C5480" s="1" t="n">
        <v>45192</v>
      </c>
      <c r="D5480" t="inlineStr">
        <is>
          <t>ÖSTERGÖTLANDS LÄN</t>
        </is>
      </c>
      <c r="E5480" t="inlineStr">
        <is>
          <t>ÅTVIDABERG</t>
        </is>
      </c>
      <c r="G5480" t="n">
        <v>0.6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28291-2023</t>
        </is>
      </c>
      <c r="B5481" s="1" t="n">
        <v>45098</v>
      </c>
      <c r="C5481" s="1" t="n">
        <v>45192</v>
      </c>
      <c r="D5481" t="inlineStr">
        <is>
          <t>ÖSTERGÖTLANDS LÄN</t>
        </is>
      </c>
      <c r="E5481" t="inlineStr">
        <is>
          <t>KINDA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27883-2023</t>
        </is>
      </c>
      <c r="B5482" s="1" t="n">
        <v>45098</v>
      </c>
      <c r="C5482" s="1" t="n">
        <v>45192</v>
      </c>
      <c r="D5482" t="inlineStr">
        <is>
          <t>ÖSTERGÖTLANDS LÄN</t>
        </is>
      </c>
      <c r="E5482" t="inlineStr">
        <is>
          <t>SÖDERKÖPING</t>
        </is>
      </c>
      <c r="G5482" t="n">
        <v>7.8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27986-2023</t>
        </is>
      </c>
      <c r="B5483" s="1" t="n">
        <v>45098</v>
      </c>
      <c r="C5483" s="1" t="n">
        <v>45192</v>
      </c>
      <c r="D5483" t="inlineStr">
        <is>
          <t>ÖSTERGÖTLANDS LÄN</t>
        </is>
      </c>
      <c r="E5483" t="inlineStr">
        <is>
          <t>ÅTVIDABERG</t>
        </is>
      </c>
      <c r="G5483" t="n">
        <v>0.5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28027-2023</t>
        </is>
      </c>
      <c r="B5484" s="1" t="n">
        <v>45098</v>
      </c>
      <c r="C5484" s="1" t="n">
        <v>45192</v>
      </c>
      <c r="D5484" t="inlineStr">
        <is>
          <t>ÖSTERGÖTLANDS LÄN</t>
        </is>
      </c>
      <c r="E5484" t="inlineStr">
        <is>
          <t>SÖDERKÖPING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27733-2023</t>
        </is>
      </c>
      <c r="B5485" s="1" t="n">
        <v>45098</v>
      </c>
      <c r="C5485" s="1" t="n">
        <v>45192</v>
      </c>
      <c r="D5485" t="inlineStr">
        <is>
          <t>ÖSTERGÖTLANDS LÄN</t>
        </is>
      </c>
      <c r="E5485" t="inlineStr">
        <is>
          <t>LINKÖPING</t>
        </is>
      </c>
      <c r="G5485" t="n">
        <v>3.9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27969-2023</t>
        </is>
      </c>
      <c r="B5486" s="1" t="n">
        <v>45098</v>
      </c>
      <c r="C5486" s="1" t="n">
        <v>45192</v>
      </c>
      <c r="D5486" t="inlineStr">
        <is>
          <t>ÖSTERGÖTLANDS LÄN</t>
        </is>
      </c>
      <c r="E5486" t="inlineStr">
        <is>
          <t>KINDA</t>
        </is>
      </c>
      <c r="G5486" t="n">
        <v>1.8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28316-2023</t>
        </is>
      </c>
      <c r="B5487" s="1" t="n">
        <v>45098</v>
      </c>
      <c r="C5487" s="1" t="n">
        <v>45192</v>
      </c>
      <c r="D5487" t="inlineStr">
        <is>
          <t>ÖSTERGÖTLANDS LÄN</t>
        </is>
      </c>
      <c r="E5487" t="inlineStr">
        <is>
          <t>KINDA</t>
        </is>
      </c>
      <c r="G5487" t="n">
        <v>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27989-2023</t>
        </is>
      </c>
      <c r="B5488" s="1" t="n">
        <v>45098</v>
      </c>
      <c r="C5488" s="1" t="n">
        <v>45192</v>
      </c>
      <c r="D5488" t="inlineStr">
        <is>
          <t>ÖSTERGÖTLANDS LÄN</t>
        </is>
      </c>
      <c r="E5488" t="inlineStr">
        <is>
          <t>FINSPÅNG</t>
        </is>
      </c>
      <c r="F5488" t="inlineStr">
        <is>
          <t>Övriga Aktiebolag</t>
        </is>
      </c>
      <c r="G5488" t="n">
        <v>1.2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28310-2023</t>
        </is>
      </c>
      <c r="B5489" s="1" t="n">
        <v>45098</v>
      </c>
      <c r="C5489" s="1" t="n">
        <v>45192</v>
      </c>
      <c r="D5489" t="inlineStr">
        <is>
          <t>ÖSTERGÖTLANDS LÄN</t>
        </is>
      </c>
      <c r="E5489" t="inlineStr">
        <is>
          <t>KINDA</t>
        </is>
      </c>
      <c r="G5489" t="n">
        <v>2.8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28165-2023</t>
        </is>
      </c>
      <c r="B5490" s="1" t="n">
        <v>45099</v>
      </c>
      <c r="C5490" s="1" t="n">
        <v>45192</v>
      </c>
      <c r="D5490" t="inlineStr">
        <is>
          <t>ÖSTERGÖTLANDS LÄN</t>
        </is>
      </c>
      <c r="E5490" t="inlineStr">
        <is>
          <t>SÖDERKÖPING</t>
        </is>
      </c>
      <c r="G5490" t="n">
        <v>4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28239-2023</t>
        </is>
      </c>
      <c r="B5491" s="1" t="n">
        <v>45099</v>
      </c>
      <c r="C5491" s="1" t="n">
        <v>45192</v>
      </c>
      <c r="D5491" t="inlineStr">
        <is>
          <t>ÖSTERGÖTLANDS LÄN</t>
        </is>
      </c>
      <c r="E5491" t="inlineStr">
        <is>
          <t>YDRE</t>
        </is>
      </c>
      <c r="G5491" t="n">
        <v>7.6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28061-2023</t>
        </is>
      </c>
      <c r="B5492" s="1" t="n">
        <v>45099</v>
      </c>
      <c r="C5492" s="1" t="n">
        <v>45192</v>
      </c>
      <c r="D5492" t="inlineStr">
        <is>
          <t>ÖSTERGÖTLANDS LÄN</t>
        </is>
      </c>
      <c r="E5492" t="inlineStr">
        <is>
          <t>SÖDERKÖPING</t>
        </is>
      </c>
      <c r="G5492" t="n">
        <v>12.7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28202-2023</t>
        </is>
      </c>
      <c r="B5493" s="1" t="n">
        <v>45099</v>
      </c>
      <c r="C5493" s="1" t="n">
        <v>45192</v>
      </c>
      <c r="D5493" t="inlineStr">
        <is>
          <t>ÖSTERGÖTLANDS LÄN</t>
        </is>
      </c>
      <c r="E5493" t="inlineStr">
        <is>
          <t>MOTALA</t>
        </is>
      </c>
      <c r="G5493" t="n">
        <v>1.7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30955-2023</t>
        </is>
      </c>
      <c r="B5494" s="1" t="n">
        <v>45103</v>
      </c>
      <c r="C5494" s="1" t="n">
        <v>45192</v>
      </c>
      <c r="D5494" t="inlineStr">
        <is>
          <t>ÖSTERGÖTLANDS LÄN</t>
        </is>
      </c>
      <c r="E5494" t="inlineStr">
        <is>
          <t>MOTALA</t>
        </is>
      </c>
      <c r="F5494" t="inlineStr">
        <is>
          <t>Övriga statliga verk och myndigheter</t>
        </is>
      </c>
      <c r="G5494" t="n">
        <v>7.5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28722-2023</t>
        </is>
      </c>
      <c r="B5495" s="1" t="n">
        <v>45103</v>
      </c>
      <c r="C5495" s="1" t="n">
        <v>45192</v>
      </c>
      <c r="D5495" t="inlineStr">
        <is>
          <t>ÖSTERGÖTLANDS LÄN</t>
        </is>
      </c>
      <c r="E5495" t="inlineStr">
        <is>
          <t>FINSPÅNG</t>
        </is>
      </c>
      <c r="G5495" t="n">
        <v>1.3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30943-2023</t>
        </is>
      </c>
      <c r="B5496" s="1" t="n">
        <v>45103</v>
      </c>
      <c r="C5496" s="1" t="n">
        <v>45192</v>
      </c>
      <c r="D5496" t="inlineStr">
        <is>
          <t>ÖSTERGÖTLANDS LÄN</t>
        </is>
      </c>
      <c r="E5496" t="inlineStr">
        <is>
          <t>LINKÖPING</t>
        </is>
      </c>
      <c r="F5496" t="inlineStr">
        <is>
          <t>Övriga statliga verk och myndigheter</t>
        </is>
      </c>
      <c r="G5496" t="n">
        <v>2.3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28887-2023</t>
        </is>
      </c>
      <c r="B5497" s="1" t="n">
        <v>45104</v>
      </c>
      <c r="C5497" s="1" t="n">
        <v>45192</v>
      </c>
      <c r="D5497" t="inlineStr">
        <is>
          <t>ÖSTERGÖTLANDS LÄN</t>
        </is>
      </c>
      <c r="E5497" t="inlineStr">
        <is>
          <t>ÅTVIDABERG</t>
        </is>
      </c>
      <c r="G5497" t="n">
        <v>0.6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31309-2023</t>
        </is>
      </c>
      <c r="B5498" s="1" t="n">
        <v>45104</v>
      </c>
      <c r="C5498" s="1" t="n">
        <v>45192</v>
      </c>
      <c r="D5498" t="inlineStr">
        <is>
          <t>ÖSTERGÖTLANDS LÄN</t>
        </is>
      </c>
      <c r="E5498" t="inlineStr">
        <is>
          <t>NORRKÖPING</t>
        </is>
      </c>
      <c r="G5498" t="n">
        <v>0.7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28876-2023</t>
        </is>
      </c>
      <c r="B5499" s="1" t="n">
        <v>45104</v>
      </c>
      <c r="C5499" s="1" t="n">
        <v>45192</v>
      </c>
      <c r="D5499" t="inlineStr">
        <is>
          <t>ÖSTERGÖTLANDS LÄN</t>
        </is>
      </c>
      <c r="E5499" t="inlineStr">
        <is>
          <t>ÅTVIDABERG</t>
        </is>
      </c>
      <c r="G5499" t="n">
        <v>0.4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28878-2023</t>
        </is>
      </c>
      <c r="B5500" s="1" t="n">
        <v>45104</v>
      </c>
      <c r="C5500" s="1" t="n">
        <v>45192</v>
      </c>
      <c r="D5500" t="inlineStr">
        <is>
          <t>ÖSTERGÖTLANDS LÄN</t>
        </is>
      </c>
      <c r="E5500" t="inlineStr">
        <is>
          <t>ÅTVIDABERG</t>
        </is>
      </c>
      <c r="G5500" t="n">
        <v>0.3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28915-2023</t>
        </is>
      </c>
      <c r="B5501" s="1" t="n">
        <v>45104</v>
      </c>
      <c r="C5501" s="1" t="n">
        <v>45192</v>
      </c>
      <c r="D5501" t="inlineStr">
        <is>
          <t>ÖSTERGÖTLANDS LÄN</t>
        </is>
      </c>
      <c r="E5501" t="inlineStr">
        <is>
          <t>YDRE</t>
        </is>
      </c>
      <c r="G5501" t="n">
        <v>1.6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29034-2023</t>
        </is>
      </c>
      <c r="B5502" s="1" t="n">
        <v>45104</v>
      </c>
      <c r="C5502" s="1" t="n">
        <v>45192</v>
      </c>
      <c r="D5502" t="inlineStr">
        <is>
          <t>ÖSTERGÖTLANDS LÄN</t>
        </is>
      </c>
      <c r="E5502" t="inlineStr">
        <is>
          <t>YDRE</t>
        </is>
      </c>
      <c r="G5502" t="n">
        <v>1.7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29128-2023</t>
        </is>
      </c>
      <c r="B5503" s="1" t="n">
        <v>45105</v>
      </c>
      <c r="C5503" s="1" t="n">
        <v>45192</v>
      </c>
      <c r="D5503" t="inlineStr">
        <is>
          <t>ÖSTERGÖTLANDS LÄN</t>
        </is>
      </c>
      <c r="E5503" t="inlineStr">
        <is>
          <t>YDRE</t>
        </is>
      </c>
      <c r="G5503" t="n">
        <v>2.2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31635-2023</t>
        </is>
      </c>
      <c r="B5504" s="1" t="n">
        <v>45105</v>
      </c>
      <c r="C5504" s="1" t="n">
        <v>45192</v>
      </c>
      <c r="D5504" t="inlineStr">
        <is>
          <t>ÖSTERGÖTLANDS LÄN</t>
        </is>
      </c>
      <c r="E5504" t="inlineStr">
        <is>
          <t>LINKÖPING</t>
        </is>
      </c>
      <c r="F5504" t="inlineStr">
        <is>
          <t>Övriga statliga verk och myndigheter</t>
        </is>
      </c>
      <c r="G5504" t="n">
        <v>4.6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29129-2023</t>
        </is>
      </c>
      <c r="B5505" s="1" t="n">
        <v>45105</v>
      </c>
      <c r="C5505" s="1" t="n">
        <v>45192</v>
      </c>
      <c r="D5505" t="inlineStr">
        <is>
          <t>ÖSTERGÖTLANDS LÄN</t>
        </is>
      </c>
      <c r="E5505" t="inlineStr">
        <is>
          <t>YDRE</t>
        </is>
      </c>
      <c r="G5505" t="n">
        <v>1.6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29155-2023</t>
        </is>
      </c>
      <c r="B5506" s="1" t="n">
        <v>45105</v>
      </c>
      <c r="C5506" s="1" t="n">
        <v>45192</v>
      </c>
      <c r="D5506" t="inlineStr">
        <is>
          <t>ÖSTERGÖTLANDS LÄN</t>
        </is>
      </c>
      <c r="E5506" t="inlineStr">
        <is>
          <t>KINDA</t>
        </is>
      </c>
      <c r="G5506" t="n">
        <v>0.6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31813-2023</t>
        </is>
      </c>
      <c r="B5507" s="1" t="n">
        <v>45106</v>
      </c>
      <c r="C5507" s="1" t="n">
        <v>45192</v>
      </c>
      <c r="D5507" t="inlineStr">
        <is>
          <t>ÖSTERGÖTLANDS LÄN</t>
        </is>
      </c>
      <c r="E5507" t="inlineStr">
        <is>
          <t>NORRKÖPING</t>
        </is>
      </c>
      <c r="G5507" t="n">
        <v>10.3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31834-2023</t>
        </is>
      </c>
      <c r="B5508" s="1" t="n">
        <v>45106</v>
      </c>
      <c r="C5508" s="1" t="n">
        <v>45192</v>
      </c>
      <c r="D5508" t="inlineStr">
        <is>
          <t>ÖSTERGÖTLANDS LÄN</t>
        </is>
      </c>
      <c r="E5508" t="inlineStr">
        <is>
          <t>NORRKÖPING</t>
        </is>
      </c>
      <c r="G5508" t="n">
        <v>0.3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31824-2023</t>
        </is>
      </c>
      <c r="B5509" s="1" t="n">
        <v>45106</v>
      </c>
      <c r="C5509" s="1" t="n">
        <v>45192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31844-2023</t>
        </is>
      </c>
      <c r="B5510" s="1" t="n">
        <v>45106</v>
      </c>
      <c r="C5510" s="1" t="n">
        <v>45192</v>
      </c>
      <c r="D5510" t="inlineStr">
        <is>
          <t>ÖSTERGÖTLANDS LÄN</t>
        </is>
      </c>
      <c r="E5510" t="inlineStr">
        <is>
          <t>NORRKÖPING</t>
        </is>
      </c>
      <c r="G5510" t="n">
        <v>0.8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29358-2023</t>
        </is>
      </c>
      <c r="B5511" s="1" t="n">
        <v>45106</v>
      </c>
      <c r="C5511" s="1" t="n">
        <v>45192</v>
      </c>
      <c r="D5511" t="inlineStr">
        <is>
          <t>ÖSTERGÖTLANDS LÄN</t>
        </is>
      </c>
      <c r="E5511" t="inlineStr">
        <is>
          <t>ÅTVIDABERG</t>
        </is>
      </c>
      <c r="G5511" t="n">
        <v>1.4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31852-2023</t>
        </is>
      </c>
      <c r="B5512" s="1" t="n">
        <v>45106</v>
      </c>
      <c r="C5512" s="1" t="n">
        <v>45192</v>
      </c>
      <c r="D5512" t="inlineStr">
        <is>
          <t>ÖSTERGÖTLANDS LÄN</t>
        </is>
      </c>
      <c r="E5512" t="inlineStr">
        <is>
          <t>NORRKÖPING</t>
        </is>
      </c>
      <c r="G5512" t="n">
        <v>0.7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31838-2023</t>
        </is>
      </c>
      <c r="B5513" s="1" t="n">
        <v>45106</v>
      </c>
      <c r="C5513" s="1" t="n">
        <v>45192</v>
      </c>
      <c r="D5513" t="inlineStr">
        <is>
          <t>ÖSTERGÖTLANDS LÄN</t>
        </is>
      </c>
      <c r="E5513" t="inlineStr">
        <is>
          <t>NORRKÖPING</t>
        </is>
      </c>
      <c r="G5513" t="n">
        <v>1.7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31850-2023</t>
        </is>
      </c>
      <c r="B5514" s="1" t="n">
        <v>45106</v>
      </c>
      <c r="C5514" s="1" t="n">
        <v>45192</v>
      </c>
      <c r="D5514" t="inlineStr">
        <is>
          <t>ÖSTERGÖTLANDS LÄN</t>
        </is>
      </c>
      <c r="E5514" t="inlineStr">
        <is>
          <t>NORRKÖPING</t>
        </is>
      </c>
      <c r="G5514" t="n">
        <v>1.9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29922-2023</t>
        </is>
      </c>
      <c r="B5515" s="1" t="n">
        <v>45107</v>
      </c>
      <c r="C5515" s="1" t="n">
        <v>45192</v>
      </c>
      <c r="D5515" t="inlineStr">
        <is>
          <t>ÖSTERGÖTLANDS LÄN</t>
        </is>
      </c>
      <c r="E5515" t="inlineStr">
        <is>
          <t>FINSPÅNG</t>
        </is>
      </c>
      <c r="G5515" t="n">
        <v>12.6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29834-2023</t>
        </is>
      </c>
      <c r="B5516" s="1" t="n">
        <v>45107</v>
      </c>
      <c r="C5516" s="1" t="n">
        <v>45192</v>
      </c>
      <c r="D5516" t="inlineStr">
        <is>
          <t>ÖSTERGÖTLANDS LÄN</t>
        </is>
      </c>
      <c r="E5516" t="inlineStr">
        <is>
          <t>LINKÖPING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29923-2023</t>
        </is>
      </c>
      <c r="B5517" s="1" t="n">
        <v>45107</v>
      </c>
      <c r="C5517" s="1" t="n">
        <v>45192</v>
      </c>
      <c r="D5517" t="inlineStr">
        <is>
          <t>ÖSTERGÖTLANDS LÄN</t>
        </is>
      </c>
      <c r="E5517" t="inlineStr">
        <is>
          <t>FINSPÅNG</t>
        </is>
      </c>
      <c r="G5517" t="n">
        <v>2.7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32165-2023</t>
        </is>
      </c>
      <c r="B5518" s="1" t="n">
        <v>45107</v>
      </c>
      <c r="C5518" s="1" t="n">
        <v>45192</v>
      </c>
      <c r="D5518" t="inlineStr">
        <is>
          <t>ÖSTERGÖTLANDS LÄN</t>
        </is>
      </c>
      <c r="E5518" t="inlineStr">
        <is>
          <t>LINKÖPING</t>
        </is>
      </c>
      <c r="G5518" t="n">
        <v>1.1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29836-2023</t>
        </is>
      </c>
      <c r="B5519" s="1" t="n">
        <v>45107</v>
      </c>
      <c r="C5519" s="1" t="n">
        <v>45192</v>
      </c>
      <c r="D5519" t="inlineStr">
        <is>
          <t>ÖSTERGÖTLANDS LÄN</t>
        </is>
      </c>
      <c r="E5519" t="inlineStr">
        <is>
          <t>LINKÖPING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29896-2023</t>
        </is>
      </c>
      <c r="B5520" s="1" t="n">
        <v>45107</v>
      </c>
      <c r="C5520" s="1" t="n">
        <v>45192</v>
      </c>
      <c r="D5520" t="inlineStr">
        <is>
          <t>ÖSTERGÖTLANDS LÄN</t>
        </is>
      </c>
      <c r="E5520" t="inlineStr">
        <is>
          <t>LINKÖPING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30095-2023</t>
        </is>
      </c>
      <c r="B5521" s="1" t="n">
        <v>45110</v>
      </c>
      <c r="C5521" s="1" t="n">
        <v>45192</v>
      </c>
      <c r="D5521" t="inlineStr">
        <is>
          <t>ÖSTERGÖTLANDS LÄN</t>
        </is>
      </c>
      <c r="E5521" t="inlineStr">
        <is>
          <t>NORRKÖPING</t>
        </is>
      </c>
      <c r="F5521" t="inlineStr">
        <is>
          <t>Holmen skog AB</t>
        </is>
      </c>
      <c r="G5521" t="n">
        <v>0.9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32425-2023</t>
        </is>
      </c>
      <c r="B5522" s="1" t="n">
        <v>45110</v>
      </c>
      <c r="C5522" s="1" t="n">
        <v>45192</v>
      </c>
      <c r="D5522" t="inlineStr">
        <is>
          <t>ÖSTERGÖTLANDS LÄN</t>
        </is>
      </c>
      <c r="E5522" t="inlineStr">
        <is>
          <t>FINSPÅNG</t>
        </is>
      </c>
      <c r="G5522" t="n">
        <v>5.7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32429-2023</t>
        </is>
      </c>
      <c r="B5523" s="1" t="n">
        <v>45110</v>
      </c>
      <c r="C5523" s="1" t="n">
        <v>45192</v>
      </c>
      <c r="D5523" t="inlineStr">
        <is>
          <t>ÖSTERGÖTLANDS LÄN</t>
        </is>
      </c>
      <c r="E5523" t="inlineStr">
        <is>
          <t>FINSPÅNG</t>
        </is>
      </c>
      <c r="G5523" t="n">
        <v>3.4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30040-2023</t>
        </is>
      </c>
      <c r="B5524" s="1" t="n">
        <v>45110</v>
      </c>
      <c r="C5524" s="1" t="n">
        <v>45192</v>
      </c>
      <c r="D5524" t="inlineStr">
        <is>
          <t>ÖSTERGÖTLANDS LÄN</t>
        </is>
      </c>
      <c r="E5524" t="inlineStr">
        <is>
          <t>NORRKÖPING</t>
        </is>
      </c>
      <c r="F5524" t="inlineStr">
        <is>
          <t>Holmen skog AB</t>
        </is>
      </c>
      <c r="G5524" t="n">
        <v>1.6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30120-2023</t>
        </is>
      </c>
      <c r="B5525" s="1" t="n">
        <v>45110</v>
      </c>
      <c r="C5525" s="1" t="n">
        <v>45192</v>
      </c>
      <c r="D5525" t="inlineStr">
        <is>
          <t>ÖSTERGÖTLANDS LÄN</t>
        </is>
      </c>
      <c r="E5525" t="inlineStr">
        <is>
          <t>KINDA</t>
        </is>
      </c>
      <c r="G5525" t="n">
        <v>1.9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32423-2023</t>
        </is>
      </c>
      <c r="B5526" s="1" t="n">
        <v>45110</v>
      </c>
      <c r="C5526" s="1" t="n">
        <v>45192</v>
      </c>
      <c r="D5526" t="inlineStr">
        <is>
          <t>ÖSTERGÖTLANDS LÄN</t>
        </is>
      </c>
      <c r="E5526" t="inlineStr">
        <is>
          <t>FINSPÅNG</t>
        </is>
      </c>
      <c r="G5526" t="n">
        <v>6.4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32427-2023</t>
        </is>
      </c>
      <c r="B5527" s="1" t="n">
        <v>45110</v>
      </c>
      <c r="C5527" s="1" t="n">
        <v>45192</v>
      </c>
      <c r="D5527" t="inlineStr">
        <is>
          <t>ÖSTERGÖTLANDS LÄN</t>
        </is>
      </c>
      <c r="E5527" t="inlineStr">
        <is>
          <t>FINSPÅNG</t>
        </is>
      </c>
      <c r="G5527" t="n">
        <v>1.3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30049-2023</t>
        </is>
      </c>
      <c r="B5528" s="1" t="n">
        <v>45110</v>
      </c>
      <c r="C5528" s="1" t="n">
        <v>45192</v>
      </c>
      <c r="D5528" t="inlineStr">
        <is>
          <t>ÖSTERGÖTLANDS LÄN</t>
        </is>
      </c>
      <c r="E5528" t="inlineStr">
        <is>
          <t>YDRE</t>
        </is>
      </c>
      <c r="G5528" t="n">
        <v>1.2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30059-2023</t>
        </is>
      </c>
      <c r="B5529" s="1" t="n">
        <v>45110</v>
      </c>
      <c r="C5529" s="1" t="n">
        <v>45192</v>
      </c>
      <c r="D5529" t="inlineStr">
        <is>
          <t>ÖSTERGÖTLANDS LÄN</t>
        </is>
      </c>
      <c r="E5529" t="inlineStr">
        <is>
          <t>NORRKÖPING</t>
        </is>
      </c>
      <c r="F5529" t="inlineStr">
        <is>
          <t>Holmen skog AB</t>
        </is>
      </c>
      <c r="G5529" t="n">
        <v>1.1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30119-2023</t>
        </is>
      </c>
      <c r="B5530" s="1" t="n">
        <v>45110</v>
      </c>
      <c r="C5530" s="1" t="n">
        <v>45192</v>
      </c>
      <c r="D5530" t="inlineStr">
        <is>
          <t>ÖSTERGÖTLANDS LÄN</t>
        </is>
      </c>
      <c r="E5530" t="inlineStr">
        <is>
          <t>ÅTVIDABERG</t>
        </is>
      </c>
      <c r="F5530" t="inlineStr">
        <is>
          <t>Övriga Aktiebolag</t>
        </is>
      </c>
      <c r="G5530" t="n">
        <v>1.6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30129-2023</t>
        </is>
      </c>
      <c r="B5531" s="1" t="n">
        <v>45110</v>
      </c>
      <c r="C5531" s="1" t="n">
        <v>45192</v>
      </c>
      <c r="D5531" t="inlineStr">
        <is>
          <t>ÖSTERGÖTLANDS LÄN</t>
        </is>
      </c>
      <c r="E5531" t="inlineStr">
        <is>
          <t>YDRE</t>
        </is>
      </c>
      <c r="G5531" t="n">
        <v>0.8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30159-2023</t>
        </is>
      </c>
      <c r="B5532" s="1" t="n">
        <v>45110</v>
      </c>
      <c r="C5532" s="1" t="n">
        <v>45192</v>
      </c>
      <c r="D5532" t="inlineStr">
        <is>
          <t>ÖSTERGÖTLANDS LÄN</t>
        </is>
      </c>
      <c r="E5532" t="inlineStr">
        <is>
          <t>NORRKÖPING</t>
        </is>
      </c>
      <c r="G5532" t="n">
        <v>5.5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30243-2023</t>
        </is>
      </c>
      <c r="B5533" s="1" t="n">
        <v>45110</v>
      </c>
      <c r="C5533" s="1" t="n">
        <v>45192</v>
      </c>
      <c r="D5533" t="inlineStr">
        <is>
          <t>ÖSTERGÖTLANDS LÄN</t>
        </is>
      </c>
      <c r="E5533" t="inlineStr">
        <is>
          <t>NORRKÖPING</t>
        </is>
      </c>
      <c r="F5533" t="inlineStr">
        <is>
          <t>Holmen skog AB</t>
        </is>
      </c>
      <c r="G5533" t="n">
        <v>2.5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32422-2023</t>
        </is>
      </c>
      <c r="B5534" s="1" t="n">
        <v>45110</v>
      </c>
      <c r="C5534" s="1" t="n">
        <v>45192</v>
      </c>
      <c r="D5534" t="inlineStr">
        <is>
          <t>ÖSTERGÖTLANDS LÄN</t>
        </is>
      </c>
      <c r="E5534" t="inlineStr">
        <is>
          <t>FINSPÅNG</t>
        </is>
      </c>
      <c r="G5534" t="n">
        <v>2.7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32431-2023</t>
        </is>
      </c>
      <c r="B5535" s="1" t="n">
        <v>45110</v>
      </c>
      <c r="C5535" s="1" t="n">
        <v>45192</v>
      </c>
      <c r="D5535" t="inlineStr">
        <is>
          <t>ÖSTERGÖTLANDS LÄN</t>
        </is>
      </c>
      <c r="E5535" t="inlineStr">
        <is>
          <t>FINSPÅNG</t>
        </is>
      </c>
      <c r="G5535" t="n">
        <v>2.2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30062-2023</t>
        </is>
      </c>
      <c r="B5536" s="1" t="n">
        <v>45110</v>
      </c>
      <c r="C5536" s="1" t="n">
        <v>45192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0.6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30126-2023</t>
        </is>
      </c>
      <c r="B5537" s="1" t="n">
        <v>45110</v>
      </c>
      <c r="C5537" s="1" t="n">
        <v>45192</v>
      </c>
      <c r="D5537" t="inlineStr">
        <is>
          <t>ÖSTERGÖTLANDS LÄN</t>
        </is>
      </c>
      <c r="E5537" t="inlineStr">
        <is>
          <t>YDRE</t>
        </is>
      </c>
      <c r="G5537" t="n">
        <v>2.6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32534-2023</t>
        </is>
      </c>
      <c r="B5538" s="1" t="n">
        <v>45110</v>
      </c>
      <c r="C5538" s="1" t="n">
        <v>45192</v>
      </c>
      <c r="D5538" t="inlineStr">
        <is>
          <t>ÖSTERGÖTLANDS LÄN</t>
        </is>
      </c>
      <c r="E5538" t="inlineStr">
        <is>
          <t>FINSPÅNG</t>
        </is>
      </c>
      <c r="G5538" t="n">
        <v>5.1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30377-2023</t>
        </is>
      </c>
      <c r="B5539" s="1" t="n">
        <v>45111</v>
      </c>
      <c r="C5539" s="1" t="n">
        <v>45192</v>
      </c>
      <c r="D5539" t="inlineStr">
        <is>
          <t>ÖSTERGÖTLANDS LÄN</t>
        </is>
      </c>
      <c r="E5539" t="inlineStr">
        <is>
          <t>MOTALA</t>
        </is>
      </c>
      <c r="G5539" t="n">
        <v>0.5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30461-2023</t>
        </is>
      </c>
      <c r="B5540" s="1" t="n">
        <v>45111</v>
      </c>
      <c r="C5540" s="1" t="n">
        <v>45192</v>
      </c>
      <c r="D5540" t="inlineStr">
        <is>
          <t>ÖSTERGÖTLANDS LÄN</t>
        </is>
      </c>
      <c r="E5540" t="inlineStr">
        <is>
          <t>KINDA</t>
        </is>
      </c>
      <c r="G5540" t="n">
        <v>2.2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30481-2023</t>
        </is>
      </c>
      <c r="B5541" s="1" t="n">
        <v>45111</v>
      </c>
      <c r="C5541" s="1" t="n">
        <v>45192</v>
      </c>
      <c r="D5541" t="inlineStr">
        <is>
          <t>ÖSTERGÖTLANDS LÄN</t>
        </is>
      </c>
      <c r="E5541" t="inlineStr">
        <is>
          <t>LINKÖPING</t>
        </is>
      </c>
      <c r="F5541" t="inlineStr">
        <is>
          <t>Övriga Aktiebolag</t>
        </is>
      </c>
      <c r="G5541" t="n">
        <v>2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30459-2023</t>
        </is>
      </c>
      <c r="B5542" s="1" t="n">
        <v>45111</v>
      </c>
      <c r="C5542" s="1" t="n">
        <v>45192</v>
      </c>
      <c r="D5542" t="inlineStr">
        <is>
          <t>ÖSTERGÖTLANDS LÄN</t>
        </is>
      </c>
      <c r="E5542" t="inlineStr">
        <is>
          <t>KINDA</t>
        </is>
      </c>
      <c r="G5542" t="n">
        <v>3.1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30551-2023</t>
        </is>
      </c>
      <c r="B5543" s="1" t="n">
        <v>45111</v>
      </c>
      <c r="C5543" s="1" t="n">
        <v>45192</v>
      </c>
      <c r="D5543" t="inlineStr">
        <is>
          <t>ÖSTERGÖTLANDS LÄN</t>
        </is>
      </c>
      <c r="E5543" t="inlineStr">
        <is>
          <t>LINKÖPING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30465-2023</t>
        </is>
      </c>
      <c r="B5544" s="1" t="n">
        <v>45111</v>
      </c>
      <c r="C5544" s="1" t="n">
        <v>45192</v>
      </c>
      <c r="D5544" t="inlineStr">
        <is>
          <t>ÖSTERGÖTLANDS LÄN</t>
        </is>
      </c>
      <c r="E5544" t="inlineStr">
        <is>
          <t>LINKÖPING</t>
        </is>
      </c>
      <c r="F5544" t="inlineStr">
        <is>
          <t>Övriga Aktiebolag</t>
        </is>
      </c>
      <c r="G5544" t="n">
        <v>0.7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32610-2023</t>
        </is>
      </c>
      <c r="B5545" s="1" t="n">
        <v>45111</v>
      </c>
      <c r="C5545" s="1" t="n">
        <v>45192</v>
      </c>
      <c r="D5545" t="inlineStr">
        <is>
          <t>ÖSTERGÖTLANDS LÄN</t>
        </is>
      </c>
      <c r="E5545" t="inlineStr">
        <is>
          <t>KINDA</t>
        </is>
      </c>
      <c r="G5545" t="n">
        <v>8.9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30598-2023</t>
        </is>
      </c>
      <c r="B5546" s="1" t="n">
        <v>45112</v>
      </c>
      <c r="C5546" s="1" t="n">
        <v>45192</v>
      </c>
      <c r="D5546" t="inlineStr">
        <is>
          <t>ÖSTERGÖTLANDS LÄN</t>
        </is>
      </c>
      <c r="E5546" t="inlineStr">
        <is>
          <t>NORRKÖPING</t>
        </is>
      </c>
      <c r="G5546" t="n">
        <v>2.6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30782-2023</t>
        </is>
      </c>
      <c r="B5547" s="1" t="n">
        <v>45112</v>
      </c>
      <c r="C5547" s="1" t="n">
        <v>45192</v>
      </c>
      <c r="D5547" t="inlineStr">
        <is>
          <t>ÖSTERGÖTLANDS LÄN</t>
        </is>
      </c>
      <c r="E5547" t="inlineStr">
        <is>
          <t>NORRKÖPING</t>
        </is>
      </c>
      <c r="G5547" t="n">
        <v>3.7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30649-2023</t>
        </is>
      </c>
      <c r="B5548" s="1" t="n">
        <v>45112</v>
      </c>
      <c r="C5548" s="1" t="n">
        <v>45192</v>
      </c>
      <c r="D5548" t="inlineStr">
        <is>
          <t>ÖSTERGÖTLANDS LÄN</t>
        </is>
      </c>
      <c r="E5548" t="inlineStr">
        <is>
          <t>ÅTVIDABERG</t>
        </is>
      </c>
      <c r="F5548" t="inlineStr">
        <is>
          <t>Övriga Aktiebolag</t>
        </is>
      </c>
      <c r="G5548" t="n">
        <v>6.8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30606-2023</t>
        </is>
      </c>
      <c r="B5549" s="1" t="n">
        <v>45112</v>
      </c>
      <c r="C5549" s="1" t="n">
        <v>45192</v>
      </c>
      <c r="D5549" t="inlineStr">
        <is>
          <t>ÖSTERGÖTLANDS LÄN</t>
        </is>
      </c>
      <c r="E5549" t="inlineStr">
        <is>
          <t>MOTALA</t>
        </is>
      </c>
      <c r="G5549" t="n">
        <v>1.9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30784-2023</t>
        </is>
      </c>
      <c r="B5550" s="1" t="n">
        <v>45112</v>
      </c>
      <c r="C5550" s="1" t="n">
        <v>45192</v>
      </c>
      <c r="D5550" t="inlineStr">
        <is>
          <t>ÖSTERGÖTLANDS LÄN</t>
        </is>
      </c>
      <c r="E5550" t="inlineStr">
        <is>
          <t>NORRKÖPING</t>
        </is>
      </c>
      <c r="G5550" t="n">
        <v>4.2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30905-2023</t>
        </is>
      </c>
      <c r="B5551" s="1" t="n">
        <v>45113</v>
      </c>
      <c r="C5551" s="1" t="n">
        <v>45192</v>
      </c>
      <c r="D5551" t="inlineStr">
        <is>
          <t>ÖSTERGÖTLANDS LÄN</t>
        </is>
      </c>
      <c r="E5551" t="inlineStr">
        <is>
          <t>LINKÖPING</t>
        </is>
      </c>
      <c r="G5551" t="n">
        <v>2.5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31275-2023</t>
        </is>
      </c>
      <c r="B5552" s="1" t="n">
        <v>45114</v>
      </c>
      <c r="C5552" s="1" t="n">
        <v>45192</v>
      </c>
      <c r="D5552" t="inlineStr">
        <is>
          <t>ÖSTERGÖTLANDS LÄN</t>
        </is>
      </c>
      <c r="E5552" t="inlineStr">
        <is>
          <t>LINKÖPING</t>
        </is>
      </c>
      <c r="G5552" t="n">
        <v>0.7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31461-2023</t>
        </is>
      </c>
      <c r="B5553" s="1" t="n">
        <v>45114</v>
      </c>
      <c r="C5553" s="1" t="n">
        <v>45192</v>
      </c>
      <c r="D5553" t="inlineStr">
        <is>
          <t>ÖSTERGÖTLANDS LÄN</t>
        </is>
      </c>
      <c r="E5553" t="inlineStr">
        <is>
          <t>ÅTVIDABERG</t>
        </is>
      </c>
      <c r="G5553" t="n">
        <v>6.2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31361-2023</t>
        </is>
      </c>
      <c r="B5554" s="1" t="n">
        <v>45114</v>
      </c>
      <c r="C5554" s="1" t="n">
        <v>45192</v>
      </c>
      <c r="D5554" t="inlineStr">
        <is>
          <t>ÖSTERGÖTLANDS LÄN</t>
        </is>
      </c>
      <c r="E5554" t="inlineStr">
        <is>
          <t>NORRKÖPING</t>
        </is>
      </c>
      <c r="G5554" t="n">
        <v>2.8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31365-2023</t>
        </is>
      </c>
      <c r="B5555" s="1" t="n">
        <v>45114</v>
      </c>
      <c r="C5555" s="1" t="n">
        <v>45192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0.6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31370-2023</t>
        </is>
      </c>
      <c r="B5556" s="1" t="n">
        <v>45114</v>
      </c>
      <c r="C5556" s="1" t="n">
        <v>45192</v>
      </c>
      <c r="D5556" t="inlineStr">
        <is>
          <t>ÖSTERGÖTLANDS LÄN</t>
        </is>
      </c>
      <c r="E5556" t="inlineStr">
        <is>
          <t>NORRKÖPING</t>
        </is>
      </c>
      <c r="F5556" t="inlineStr">
        <is>
          <t>Holmen skog AB</t>
        </is>
      </c>
      <c r="G5556" t="n">
        <v>6.4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31430-2023</t>
        </is>
      </c>
      <c r="B5557" s="1" t="n">
        <v>45114</v>
      </c>
      <c r="C5557" s="1" t="n">
        <v>45192</v>
      </c>
      <c r="D5557" t="inlineStr">
        <is>
          <t>ÖSTERGÖTLANDS LÄN</t>
        </is>
      </c>
      <c r="E5557" t="inlineStr">
        <is>
          <t>MOTALA</t>
        </is>
      </c>
      <c r="G5557" t="n">
        <v>1.5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31276-2023</t>
        </is>
      </c>
      <c r="B5558" s="1" t="n">
        <v>45114</v>
      </c>
      <c r="C5558" s="1" t="n">
        <v>45192</v>
      </c>
      <c r="D5558" t="inlineStr">
        <is>
          <t>ÖSTERGÖTLANDS LÄN</t>
        </is>
      </c>
      <c r="E5558" t="inlineStr">
        <is>
          <t>MOTALA</t>
        </is>
      </c>
      <c r="G5558" t="n">
        <v>1.7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31359-2023</t>
        </is>
      </c>
      <c r="B5559" s="1" t="n">
        <v>45114</v>
      </c>
      <c r="C5559" s="1" t="n">
        <v>45192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1.6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31458-2023</t>
        </is>
      </c>
      <c r="B5560" s="1" t="n">
        <v>45114</v>
      </c>
      <c r="C5560" s="1" t="n">
        <v>45192</v>
      </c>
      <c r="D5560" t="inlineStr">
        <is>
          <t>ÖSTERGÖTLANDS LÄN</t>
        </is>
      </c>
      <c r="E5560" t="inlineStr">
        <is>
          <t>ÅTVIDABERG</t>
        </is>
      </c>
      <c r="G5560" t="n">
        <v>1.7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31249-2023</t>
        </is>
      </c>
      <c r="B5561" s="1" t="n">
        <v>45114</v>
      </c>
      <c r="C5561" s="1" t="n">
        <v>45192</v>
      </c>
      <c r="D5561" t="inlineStr">
        <is>
          <t>ÖSTERGÖTLANDS LÄN</t>
        </is>
      </c>
      <c r="E5561" t="inlineStr">
        <is>
          <t>KINDA</t>
        </is>
      </c>
      <c r="G5561" t="n">
        <v>3.1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31362-2023</t>
        </is>
      </c>
      <c r="B5562" s="1" t="n">
        <v>45114</v>
      </c>
      <c r="C5562" s="1" t="n">
        <v>45192</v>
      </c>
      <c r="D5562" t="inlineStr">
        <is>
          <t>ÖSTERGÖTLANDS LÄN</t>
        </is>
      </c>
      <c r="E5562" t="inlineStr">
        <is>
          <t>NORRKÖPING</t>
        </is>
      </c>
      <c r="G5562" t="n">
        <v>2.1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31419-2023</t>
        </is>
      </c>
      <c r="B5563" s="1" t="n">
        <v>45114</v>
      </c>
      <c r="C5563" s="1" t="n">
        <v>45192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1.1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31460-2023</t>
        </is>
      </c>
      <c r="B5564" s="1" t="n">
        <v>45114</v>
      </c>
      <c r="C5564" s="1" t="n">
        <v>45192</v>
      </c>
      <c r="D5564" t="inlineStr">
        <is>
          <t>ÖSTERGÖTLANDS LÄN</t>
        </is>
      </c>
      <c r="E5564" t="inlineStr">
        <is>
          <t>ÅTVIDABERG</t>
        </is>
      </c>
      <c r="G5564" t="n">
        <v>4.1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31533-2023</t>
        </is>
      </c>
      <c r="B5565" s="1" t="n">
        <v>45116</v>
      </c>
      <c r="C5565" s="1" t="n">
        <v>45192</v>
      </c>
      <c r="D5565" t="inlineStr">
        <is>
          <t>ÖSTERGÖTLANDS LÄN</t>
        </is>
      </c>
      <c r="E5565" t="inlineStr">
        <is>
          <t>LINKÖPING</t>
        </is>
      </c>
      <c r="G5565" t="n">
        <v>9.300000000000001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31527-2023</t>
        </is>
      </c>
      <c r="B5566" s="1" t="n">
        <v>45116</v>
      </c>
      <c r="C5566" s="1" t="n">
        <v>45192</v>
      </c>
      <c r="D5566" t="inlineStr">
        <is>
          <t>ÖSTERGÖTLANDS LÄN</t>
        </is>
      </c>
      <c r="E5566" t="inlineStr">
        <is>
          <t>KINDA</t>
        </is>
      </c>
      <c r="G5566" t="n">
        <v>0.7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31534-2023</t>
        </is>
      </c>
      <c r="B5567" s="1" t="n">
        <v>45116</v>
      </c>
      <c r="C5567" s="1" t="n">
        <v>45192</v>
      </c>
      <c r="D5567" t="inlineStr">
        <is>
          <t>ÖSTERGÖTLANDS LÄN</t>
        </is>
      </c>
      <c r="E5567" t="inlineStr">
        <is>
          <t>LINKÖPING</t>
        </is>
      </c>
      <c r="G5567" t="n">
        <v>1.5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31582-2023</t>
        </is>
      </c>
      <c r="B5568" s="1" t="n">
        <v>45117</v>
      </c>
      <c r="C5568" s="1" t="n">
        <v>45192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31663-2023</t>
        </is>
      </c>
      <c r="B5569" s="1" t="n">
        <v>45117</v>
      </c>
      <c r="C5569" s="1" t="n">
        <v>45192</v>
      </c>
      <c r="D5569" t="inlineStr">
        <is>
          <t>ÖSTERGÖTLANDS LÄN</t>
        </is>
      </c>
      <c r="E5569" t="inlineStr">
        <is>
          <t>NORRKÖPING</t>
        </is>
      </c>
      <c r="F5569" t="inlineStr">
        <is>
          <t>Holmen skog AB</t>
        </is>
      </c>
      <c r="G5569" t="n">
        <v>0.9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31675-2023</t>
        </is>
      </c>
      <c r="B5570" s="1" t="n">
        <v>45117</v>
      </c>
      <c r="C5570" s="1" t="n">
        <v>45192</v>
      </c>
      <c r="D5570" t="inlineStr">
        <is>
          <t>ÖSTERGÖTLANDS LÄN</t>
        </is>
      </c>
      <c r="E5570" t="inlineStr">
        <is>
          <t>BOXHOLM</t>
        </is>
      </c>
      <c r="F5570" t="inlineStr">
        <is>
          <t>Övriga Aktiebolag</t>
        </is>
      </c>
      <c r="G5570" t="n">
        <v>2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31542-2023</t>
        </is>
      </c>
      <c r="B5571" s="1" t="n">
        <v>45117</v>
      </c>
      <c r="C5571" s="1" t="n">
        <v>45192</v>
      </c>
      <c r="D5571" t="inlineStr">
        <is>
          <t>ÖSTERGÖTLANDS LÄN</t>
        </is>
      </c>
      <c r="E5571" t="inlineStr">
        <is>
          <t>YDRE</t>
        </is>
      </c>
      <c r="F5571" t="inlineStr">
        <is>
          <t>Övriga Aktiebolag</t>
        </is>
      </c>
      <c r="G5571" t="n">
        <v>1.3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31640-2023</t>
        </is>
      </c>
      <c r="B5572" s="1" t="n">
        <v>45117</v>
      </c>
      <c r="C5572" s="1" t="n">
        <v>45192</v>
      </c>
      <c r="D5572" t="inlineStr">
        <is>
          <t>ÖSTERGÖTLANDS LÄN</t>
        </is>
      </c>
      <c r="E5572" t="inlineStr">
        <is>
          <t>LINKÖPING</t>
        </is>
      </c>
      <c r="G5572" t="n">
        <v>0.5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31659-2023</t>
        </is>
      </c>
      <c r="B5573" s="1" t="n">
        <v>45117</v>
      </c>
      <c r="C5573" s="1" t="n">
        <v>45192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1.4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31637-2023</t>
        </is>
      </c>
      <c r="B5574" s="1" t="n">
        <v>45117</v>
      </c>
      <c r="C5574" s="1" t="n">
        <v>45192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1.6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31653-2023</t>
        </is>
      </c>
      <c r="B5575" s="1" t="n">
        <v>45117</v>
      </c>
      <c r="C5575" s="1" t="n">
        <v>45192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0.8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31668-2023</t>
        </is>
      </c>
      <c r="B5576" s="1" t="n">
        <v>45117</v>
      </c>
      <c r="C5576" s="1" t="n">
        <v>45192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0.6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31801-2023</t>
        </is>
      </c>
      <c r="B5577" s="1" t="n">
        <v>45118</v>
      </c>
      <c r="C5577" s="1" t="n">
        <v>45192</v>
      </c>
      <c r="D5577" t="inlineStr">
        <is>
          <t>ÖSTERGÖTLANDS LÄN</t>
        </is>
      </c>
      <c r="E5577" t="inlineStr">
        <is>
          <t>FINSPÅNG</t>
        </is>
      </c>
      <c r="G5577" t="n">
        <v>5.1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31887-2023</t>
        </is>
      </c>
      <c r="B5578" s="1" t="n">
        <v>45118</v>
      </c>
      <c r="C5578" s="1" t="n">
        <v>45192</v>
      </c>
      <c r="D5578" t="inlineStr">
        <is>
          <t>ÖSTERGÖTLANDS LÄN</t>
        </is>
      </c>
      <c r="E5578" t="inlineStr">
        <is>
          <t>NORRKÖPING</t>
        </is>
      </c>
      <c r="G5578" t="n">
        <v>0.5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31882-2023</t>
        </is>
      </c>
      <c r="B5579" s="1" t="n">
        <v>45118</v>
      </c>
      <c r="C5579" s="1" t="n">
        <v>45192</v>
      </c>
      <c r="D5579" t="inlineStr">
        <is>
          <t>ÖSTERGÖTLANDS LÄN</t>
        </is>
      </c>
      <c r="E5579" t="inlineStr">
        <is>
          <t>NORRKÖPING</t>
        </is>
      </c>
      <c r="G5579" t="n">
        <v>0.7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31797-2023</t>
        </is>
      </c>
      <c r="B5580" s="1" t="n">
        <v>45118</v>
      </c>
      <c r="C5580" s="1" t="n">
        <v>45192</v>
      </c>
      <c r="D5580" t="inlineStr">
        <is>
          <t>ÖSTERGÖTLANDS LÄN</t>
        </is>
      </c>
      <c r="E5580" t="inlineStr">
        <is>
          <t>YDRE</t>
        </is>
      </c>
      <c r="F5580" t="inlineStr">
        <is>
          <t>Övriga Aktiebolag</t>
        </is>
      </c>
      <c r="G5580" t="n">
        <v>5.1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31883-2023</t>
        </is>
      </c>
      <c r="B5581" s="1" t="n">
        <v>45118</v>
      </c>
      <c r="C5581" s="1" t="n">
        <v>45192</v>
      </c>
      <c r="D5581" t="inlineStr">
        <is>
          <t>ÖSTERGÖTLANDS LÄN</t>
        </is>
      </c>
      <c r="E5581" t="inlineStr">
        <is>
          <t>NORRKÖPING</t>
        </is>
      </c>
      <c r="G5581" t="n">
        <v>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33536-2023</t>
        </is>
      </c>
      <c r="B5582" s="1" t="n">
        <v>45118</v>
      </c>
      <c r="C5582" s="1" t="n">
        <v>45192</v>
      </c>
      <c r="D5582" t="inlineStr">
        <is>
          <t>ÖSTERGÖTLANDS LÄN</t>
        </is>
      </c>
      <c r="E5582" t="inlineStr">
        <is>
          <t>ÅTVIDABERG</t>
        </is>
      </c>
      <c r="G5582" t="n">
        <v>6.1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33542-2023</t>
        </is>
      </c>
      <c r="B5583" s="1" t="n">
        <v>45118</v>
      </c>
      <c r="C5583" s="1" t="n">
        <v>45192</v>
      </c>
      <c r="D5583" t="inlineStr">
        <is>
          <t>ÖSTERGÖTLANDS LÄN</t>
        </is>
      </c>
      <c r="E5583" t="inlineStr">
        <is>
          <t>ÅTVIDABERG</t>
        </is>
      </c>
      <c r="G5583" t="n">
        <v>1.5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33540-2023</t>
        </is>
      </c>
      <c r="B5584" s="1" t="n">
        <v>45118</v>
      </c>
      <c r="C5584" s="1" t="n">
        <v>45192</v>
      </c>
      <c r="D5584" t="inlineStr">
        <is>
          <t>ÖSTERGÖTLANDS LÄN</t>
        </is>
      </c>
      <c r="E5584" t="inlineStr">
        <is>
          <t>ÅTVIDABERG</t>
        </is>
      </c>
      <c r="G5584" t="n">
        <v>3.6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32048-2023</t>
        </is>
      </c>
      <c r="B5585" s="1" t="n">
        <v>45119</v>
      </c>
      <c r="C5585" s="1" t="n">
        <v>45192</v>
      </c>
      <c r="D5585" t="inlineStr">
        <is>
          <t>ÖSTERGÖTLANDS LÄN</t>
        </is>
      </c>
      <c r="E5585" t="inlineStr">
        <is>
          <t>YDRE</t>
        </is>
      </c>
      <c r="F5585" t="inlineStr">
        <is>
          <t>Sveaskog</t>
        </is>
      </c>
      <c r="G5585" t="n">
        <v>5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33726-2023</t>
        </is>
      </c>
      <c r="B5586" s="1" t="n">
        <v>45119</v>
      </c>
      <c r="C5586" s="1" t="n">
        <v>45192</v>
      </c>
      <c r="D5586" t="inlineStr">
        <is>
          <t>ÖSTERGÖTLANDS LÄN</t>
        </is>
      </c>
      <c r="E5586" t="inlineStr">
        <is>
          <t>SÖDERKÖPING</t>
        </is>
      </c>
      <c r="G5586" t="n">
        <v>1.2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33733-2023</t>
        </is>
      </c>
      <c r="B5587" s="1" t="n">
        <v>45119</v>
      </c>
      <c r="C5587" s="1" t="n">
        <v>45192</v>
      </c>
      <c r="D5587" t="inlineStr">
        <is>
          <t>ÖSTERGÖTLANDS LÄN</t>
        </is>
      </c>
      <c r="E5587" t="inlineStr">
        <is>
          <t>SÖDERKÖPING</t>
        </is>
      </c>
      <c r="G5587" t="n">
        <v>1.8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32036-2023</t>
        </is>
      </c>
      <c r="B5588" s="1" t="n">
        <v>45119</v>
      </c>
      <c r="C5588" s="1" t="n">
        <v>45192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2.2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32043-2023</t>
        </is>
      </c>
      <c r="B5589" s="1" t="n">
        <v>45119</v>
      </c>
      <c r="C5589" s="1" t="n">
        <v>45192</v>
      </c>
      <c r="D5589" t="inlineStr">
        <is>
          <t>ÖSTERGÖTLANDS LÄN</t>
        </is>
      </c>
      <c r="E5589" t="inlineStr">
        <is>
          <t>YDRE</t>
        </is>
      </c>
      <c r="F5589" t="inlineStr">
        <is>
          <t>Sveaskog</t>
        </is>
      </c>
      <c r="G5589" t="n">
        <v>1.4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33727-2023</t>
        </is>
      </c>
      <c r="B5590" s="1" t="n">
        <v>45119</v>
      </c>
      <c r="C5590" s="1" t="n">
        <v>45192</v>
      </c>
      <c r="D5590" t="inlineStr">
        <is>
          <t>ÖSTERGÖTLANDS LÄN</t>
        </is>
      </c>
      <c r="E5590" t="inlineStr">
        <is>
          <t>SÖDERKÖPING</t>
        </is>
      </c>
      <c r="G5590" t="n">
        <v>5.3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33735-2023</t>
        </is>
      </c>
      <c r="B5591" s="1" t="n">
        <v>45119</v>
      </c>
      <c r="C5591" s="1" t="n">
        <v>45192</v>
      </c>
      <c r="D5591" t="inlineStr">
        <is>
          <t>ÖSTERGÖTLANDS LÄN</t>
        </is>
      </c>
      <c r="E5591" t="inlineStr">
        <is>
          <t>SÖDERKÖPING</t>
        </is>
      </c>
      <c r="G5591" t="n">
        <v>3.6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31955-2023</t>
        </is>
      </c>
      <c r="B5592" s="1" t="n">
        <v>45119</v>
      </c>
      <c r="C5592" s="1" t="n">
        <v>45192</v>
      </c>
      <c r="D5592" t="inlineStr">
        <is>
          <t>ÖSTERGÖTLANDS LÄN</t>
        </is>
      </c>
      <c r="E5592" t="inlineStr">
        <is>
          <t>YDRE</t>
        </is>
      </c>
      <c r="G5592" t="n">
        <v>2.2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31966-2023</t>
        </is>
      </c>
      <c r="B5593" s="1" t="n">
        <v>45119</v>
      </c>
      <c r="C5593" s="1" t="n">
        <v>45192</v>
      </c>
      <c r="D5593" t="inlineStr">
        <is>
          <t>ÖSTERGÖTLANDS LÄN</t>
        </is>
      </c>
      <c r="E5593" t="inlineStr">
        <is>
          <t>NORRKÖPING</t>
        </is>
      </c>
      <c r="F5593" t="inlineStr">
        <is>
          <t>Holmen skog AB</t>
        </is>
      </c>
      <c r="G5593" t="n">
        <v>0.5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33723-2023</t>
        </is>
      </c>
      <c r="B5594" s="1" t="n">
        <v>45119</v>
      </c>
      <c r="C5594" s="1" t="n">
        <v>45192</v>
      </c>
      <c r="D5594" t="inlineStr">
        <is>
          <t>ÖSTERGÖTLANDS LÄN</t>
        </is>
      </c>
      <c r="E5594" t="inlineStr">
        <is>
          <t>SÖDERKÖPING</t>
        </is>
      </c>
      <c r="G5594" t="n">
        <v>4.2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33730-2023</t>
        </is>
      </c>
      <c r="B5595" s="1" t="n">
        <v>45119</v>
      </c>
      <c r="C5595" s="1" t="n">
        <v>45192</v>
      </c>
      <c r="D5595" t="inlineStr">
        <is>
          <t>ÖSTERGÖTLANDS LÄN</t>
        </is>
      </c>
      <c r="E5595" t="inlineStr">
        <is>
          <t>SÖDERKÖPING</t>
        </is>
      </c>
      <c r="G5595" t="n">
        <v>1.1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33736-2023</t>
        </is>
      </c>
      <c r="B5596" s="1" t="n">
        <v>45119</v>
      </c>
      <c r="C5596" s="1" t="n">
        <v>45192</v>
      </c>
      <c r="D5596" t="inlineStr">
        <is>
          <t>ÖSTERGÖTLANDS LÄN</t>
        </is>
      </c>
      <c r="E5596" t="inlineStr">
        <is>
          <t>SÖDERKÖPING</t>
        </is>
      </c>
      <c r="G5596" t="n">
        <v>1.7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33724-2023</t>
        </is>
      </c>
      <c r="B5597" s="1" t="n">
        <v>45119</v>
      </c>
      <c r="C5597" s="1" t="n">
        <v>45192</v>
      </c>
      <c r="D5597" t="inlineStr">
        <is>
          <t>ÖSTERGÖTLANDS LÄN</t>
        </is>
      </c>
      <c r="E5597" t="inlineStr">
        <is>
          <t>SÖDERKÖPING</t>
        </is>
      </c>
      <c r="G5597" t="n">
        <v>6.8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33731-2023</t>
        </is>
      </c>
      <c r="B5598" s="1" t="n">
        <v>45119</v>
      </c>
      <c r="C5598" s="1" t="n">
        <v>45192</v>
      </c>
      <c r="D5598" t="inlineStr">
        <is>
          <t>ÖSTERGÖTLANDS LÄN</t>
        </is>
      </c>
      <c r="E5598" t="inlineStr">
        <is>
          <t>SÖDERKÖPING</t>
        </is>
      </c>
      <c r="G5598" t="n">
        <v>2.4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32346-2023</t>
        </is>
      </c>
      <c r="B5599" s="1" t="n">
        <v>45120</v>
      </c>
      <c r="C5599" s="1" t="n">
        <v>45192</v>
      </c>
      <c r="D5599" t="inlineStr">
        <is>
          <t>ÖSTERGÖTLANDS LÄN</t>
        </is>
      </c>
      <c r="E5599" t="inlineStr">
        <is>
          <t>LINKÖPING</t>
        </is>
      </c>
      <c r="G5599" t="n">
        <v>0.7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32382-2023</t>
        </is>
      </c>
      <c r="B5600" s="1" t="n">
        <v>45120</v>
      </c>
      <c r="C5600" s="1" t="n">
        <v>45192</v>
      </c>
      <c r="D5600" t="inlineStr">
        <is>
          <t>ÖSTERGÖTLANDS LÄN</t>
        </is>
      </c>
      <c r="E5600" t="inlineStr">
        <is>
          <t>ÅTVIDABERG</t>
        </is>
      </c>
      <c r="G5600" t="n">
        <v>15.6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32285-2023</t>
        </is>
      </c>
      <c r="B5601" s="1" t="n">
        <v>45120</v>
      </c>
      <c r="C5601" s="1" t="n">
        <v>45192</v>
      </c>
      <c r="D5601" t="inlineStr">
        <is>
          <t>ÖSTERGÖTLANDS LÄN</t>
        </is>
      </c>
      <c r="E5601" t="inlineStr">
        <is>
          <t>KINDA</t>
        </is>
      </c>
      <c r="G5601" t="n">
        <v>0.2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32334-2023</t>
        </is>
      </c>
      <c r="B5602" s="1" t="n">
        <v>45120</v>
      </c>
      <c r="C5602" s="1" t="n">
        <v>45192</v>
      </c>
      <c r="D5602" t="inlineStr">
        <is>
          <t>ÖSTERGÖTLANDS LÄN</t>
        </is>
      </c>
      <c r="E5602" t="inlineStr">
        <is>
          <t>LINKÖPING</t>
        </is>
      </c>
      <c r="G5602" t="n">
        <v>1.8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32391-2023</t>
        </is>
      </c>
      <c r="B5603" s="1" t="n">
        <v>45120</v>
      </c>
      <c r="C5603" s="1" t="n">
        <v>45192</v>
      </c>
      <c r="D5603" t="inlineStr">
        <is>
          <t>ÖSTERGÖTLANDS LÄN</t>
        </is>
      </c>
      <c r="E5603" t="inlineStr">
        <is>
          <t>NORRKÖPING</t>
        </is>
      </c>
      <c r="G5603" t="n">
        <v>0.8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32278-2023</t>
        </is>
      </c>
      <c r="B5604" s="1" t="n">
        <v>45120</v>
      </c>
      <c r="C5604" s="1" t="n">
        <v>45192</v>
      </c>
      <c r="D5604" t="inlineStr">
        <is>
          <t>ÖSTERGÖTLANDS LÄN</t>
        </is>
      </c>
      <c r="E5604" t="inlineStr">
        <is>
          <t>LINKÖPING</t>
        </is>
      </c>
      <c r="G5604" t="n">
        <v>2.4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32337-2023</t>
        </is>
      </c>
      <c r="B5605" s="1" t="n">
        <v>45120</v>
      </c>
      <c r="C5605" s="1" t="n">
        <v>45192</v>
      </c>
      <c r="D5605" t="inlineStr">
        <is>
          <t>ÖSTERGÖTLANDS LÄN</t>
        </is>
      </c>
      <c r="E5605" t="inlineStr">
        <is>
          <t>LINKÖPING</t>
        </is>
      </c>
      <c r="G5605" t="n">
        <v>2.3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32394-2023</t>
        </is>
      </c>
      <c r="B5606" s="1" t="n">
        <v>45120</v>
      </c>
      <c r="C5606" s="1" t="n">
        <v>45192</v>
      </c>
      <c r="D5606" t="inlineStr">
        <is>
          <t>ÖSTERGÖTLANDS LÄN</t>
        </is>
      </c>
      <c r="E5606" t="inlineStr">
        <is>
          <t>NORRKÖPING</t>
        </is>
      </c>
      <c r="G5606" t="n">
        <v>4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32521-2023</t>
        </is>
      </c>
      <c r="B5607" s="1" t="n">
        <v>45121</v>
      </c>
      <c r="C5607" s="1" t="n">
        <v>45192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3.5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32617-2023</t>
        </is>
      </c>
      <c r="B5608" s="1" t="n">
        <v>45121</v>
      </c>
      <c r="C5608" s="1" t="n">
        <v>45192</v>
      </c>
      <c r="D5608" t="inlineStr">
        <is>
          <t>ÖSTERGÖTLANDS LÄN</t>
        </is>
      </c>
      <c r="E5608" t="inlineStr">
        <is>
          <t>NORRKÖPING</t>
        </is>
      </c>
      <c r="F5608" t="inlineStr">
        <is>
          <t>Holmen skog AB</t>
        </is>
      </c>
      <c r="G5608" t="n">
        <v>1.1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33803-2023</t>
        </is>
      </c>
      <c r="B5609" s="1" t="n">
        <v>45121</v>
      </c>
      <c r="C5609" s="1" t="n">
        <v>45192</v>
      </c>
      <c r="D5609" t="inlineStr">
        <is>
          <t>ÖSTERGÖTLANDS LÄN</t>
        </is>
      </c>
      <c r="E5609" t="inlineStr">
        <is>
          <t>LINKÖPING</t>
        </is>
      </c>
      <c r="G5609" t="n">
        <v>1.7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33800-2023</t>
        </is>
      </c>
      <c r="B5610" s="1" t="n">
        <v>45121</v>
      </c>
      <c r="C5610" s="1" t="n">
        <v>45192</v>
      </c>
      <c r="D5610" t="inlineStr">
        <is>
          <t>ÖSTERGÖTLANDS LÄN</t>
        </is>
      </c>
      <c r="E5610" t="inlineStr">
        <is>
          <t>LINKÖPING</t>
        </is>
      </c>
      <c r="G5610" t="n">
        <v>1.3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32515-2023</t>
        </is>
      </c>
      <c r="B5611" s="1" t="n">
        <v>45121</v>
      </c>
      <c r="C5611" s="1" t="n">
        <v>45192</v>
      </c>
      <c r="D5611" t="inlineStr">
        <is>
          <t>ÖSTERGÖTLANDS LÄN</t>
        </is>
      </c>
      <c r="E5611" t="inlineStr">
        <is>
          <t>VALDEMARSVIK</t>
        </is>
      </c>
      <c r="G5611" t="n">
        <v>0.7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32585-2023</t>
        </is>
      </c>
      <c r="B5612" s="1" t="n">
        <v>45121</v>
      </c>
      <c r="C5612" s="1" t="n">
        <v>45192</v>
      </c>
      <c r="D5612" t="inlineStr">
        <is>
          <t>ÖSTERGÖTLANDS LÄN</t>
        </is>
      </c>
      <c r="E5612" t="inlineStr">
        <is>
          <t>FINSPÅNG</t>
        </is>
      </c>
      <c r="F5612" t="inlineStr">
        <is>
          <t>Övriga Aktiebolag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33794-2023</t>
        </is>
      </c>
      <c r="B5613" s="1" t="n">
        <v>45121</v>
      </c>
      <c r="C5613" s="1" t="n">
        <v>45192</v>
      </c>
      <c r="D5613" t="inlineStr">
        <is>
          <t>ÖSTERGÖTLANDS LÄN</t>
        </is>
      </c>
      <c r="E5613" t="inlineStr">
        <is>
          <t>LINKÖPING</t>
        </is>
      </c>
      <c r="G5613" t="n">
        <v>1.2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32511-2023</t>
        </is>
      </c>
      <c r="B5614" s="1" t="n">
        <v>45121</v>
      </c>
      <c r="C5614" s="1" t="n">
        <v>45192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0.9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32648-2023</t>
        </is>
      </c>
      <c r="B5615" s="1" t="n">
        <v>45121</v>
      </c>
      <c r="C5615" s="1" t="n">
        <v>45192</v>
      </c>
      <c r="D5615" t="inlineStr">
        <is>
          <t>ÖSTERGÖTLANDS LÄN</t>
        </is>
      </c>
      <c r="E5615" t="inlineStr">
        <is>
          <t>NORRKÖPING</t>
        </is>
      </c>
      <c r="F5615" t="inlineStr">
        <is>
          <t>Holmen skog AB</t>
        </is>
      </c>
      <c r="G5615" t="n">
        <v>1.9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32749-2023</t>
        </is>
      </c>
      <c r="B5616" s="1" t="n">
        <v>45122</v>
      </c>
      <c r="C5616" s="1" t="n">
        <v>45192</v>
      </c>
      <c r="D5616" t="inlineStr">
        <is>
          <t>ÖSTERGÖTLANDS LÄN</t>
        </is>
      </c>
      <c r="E5616" t="inlineStr">
        <is>
          <t>KINDA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33000-2023</t>
        </is>
      </c>
      <c r="B5617" s="1" t="n">
        <v>45125</v>
      </c>
      <c r="C5617" s="1" t="n">
        <v>45192</v>
      </c>
      <c r="D5617" t="inlineStr">
        <is>
          <t>ÖSTERGÖTLANDS LÄN</t>
        </is>
      </c>
      <c r="E5617" t="inlineStr">
        <is>
          <t>LINKÖPING</t>
        </is>
      </c>
      <c r="G5617" t="n">
        <v>0.6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33170-2023</t>
        </is>
      </c>
      <c r="B5618" s="1" t="n">
        <v>45126</v>
      </c>
      <c r="C5618" s="1" t="n">
        <v>45192</v>
      </c>
      <c r="D5618" t="inlineStr">
        <is>
          <t>ÖSTERGÖTLANDS LÄN</t>
        </is>
      </c>
      <c r="E5618" t="inlineStr">
        <is>
          <t>NORRKÖPING</t>
        </is>
      </c>
      <c r="G5618" t="n">
        <v>2.1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33171-2023</t>
        </is>
      </c>
      <c r="B5619" s="1" t="n">
        <v>45126</v>
      </c>
      <c r="C5619" s="1" t="n">
        <v>45192</v>
      </c>
      <c r="D5619" t="inlineStr">
        <is>
          <t>ÖSTERGÖTLANDS LÄN</t>
        </is>
      </c>
      <c r="E5619" t="inlineStr">
        <is>
          <t>NORRKÖPING</t>
        </is>
      </c>
      <c r="G5619" t="n">
        <v>3.2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34274-2023</t>
        </is>
      </c>
      <c r="B5620" s="1" t="n">
        <v>45128</v>
      </c>
      <c r="C5620" s="1" t="n">
        <v>45192</v>
      </c>
      <c r="D5620" t="inlineStr">
        <is>
          <t>ÖSTERGÖTLANDS LÄN</t>
        </is>
      </c>
      <c r="E5620" t="inlineStr">
        <is>
          <t>KINDA</t>
        </is>
      </c>
      <c r="G5620" t="n">
        <v>1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34285-2023</t>
        </is>
      </c>
      <c r="B5621" s="1" t="n">
        <v>45128</v>
      </c>
      <c r="C5621" s="1" t="n">
        <v>45192</v>
      </c>
      <c r="D5621" t="inlineStr">
        <is>
          <t>ÖSTERGÖTLANDS LÄN</t>
        </is>
      </c>
      <c r="E5621" t="inlineStr">
        <is>
          <t>NORRKÖPING</t>
        </is>
      </c>
      <c r="F5621" t="inlineStr">
        <is>
          <t>Allmännings- och besparingsskogar</t>
        </is>
      </c>
      <c r="G5621" t="n">
        <v>6.9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33341-2023</t>
        </is>
      </c>
      <c r="B5622" s="1" t="n">
        <v>45128</v>
      </c>
      <c r="C5622" s="1" t="n">
        <v>45192</v>
      </c>
      <c r="D5622" t="inlineStr">
        <is>
          <t>ÖSTERGÖTLANDS LÄN</t>
        </is>
      </c>
      <c r="E5622" t="inlineStr">
        <is>
          <t>NORRKÖPING</t>
        </is>
      </c>
      <c r="G5622" t="n">
        <v>2.1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33446-2023</t>
        </is>
      </c>
      <c r="B5623" s="1" t="n">
        <v>45129</v>
      </c>
      <c r="C5623" s="1" t="n">
        <v>45192</v>
      </c>
      <c r="D5623" t="inlineStr">
        <is>
          <t>ÖSTERGÖTLANDS LÄN</t>
        </is>
      </c>
      <c r="E5623" t="inlineStr">
        <is>
          <t>NORRKÖPING</t>
        </is>
      </c>
      <c r="G5623" t="n">
        <v>2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33568-2023</t>
        </is>
      </c>
      <c r="B5624" s="1" t="n">
        <v>45131</v>
      </c>
      <c r="C5624" s="1" t="n">
        <v>45192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3.1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33537-2023</t>
        </is>
      </c>
      <c r="B5625" s="1" t="n">
        <v>45131</v>
      </c>
      <c r="C5625" s="1" t="n">
        <v>45192</v>
      </c>
      <c r="D5625" t="inlineStr">
        <is>
          <t>ÖSTERGÖTLANDS LÄN</t>
        </is>
      </c>
      <c r="E5625" t="inlineStr">
        <is>
          <t>FINSPÅNG</t>
        </is>
      </c>
      <c r="F5625" t="inlineStr">
        <is>
          <t>Övriga Aktiebolag</t>
        </is>
      </c>
      <c r="G5625" t="n">
        <v>10.8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34393-2023</t>
        </is>
      </c>
      <c r="B5626" s="1" t="n">
        <v>45132</v>
      </c>
      <c r="C5626" s="1" t="n">
        <v>45192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2.4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34357-2023</t>
        </is>
      </c>
      <c r="B5627" s="1" t="n">
        <v>45133</v>
      </c>
      <c r="C5627" s="1" t="n">
        <v>45192</v>
      </c>
      <c r="D5627" t="inlineStr">
        <is>
          <t>ÖSTERGÖTLANDS LÄN</t>
        </is>
      </c>
      <c r="E5627" t="inlineStr">
        <is>
          <t>VALDEMARSVIK</t>
        </is>
      </c>
      <c r="G5627" t="n">
        <v>1.7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33997-2023</t>
        </is>
      </c>
      <c r="B5628" s="1" t="n">
        <v>45134</v>
      </c>
      <c r="C5628" s="1" t="n">
        <v>45192</v>
      </c>
      <c r="D5628" t="inlineStr">
        <is>
          <t>ÖSTERGÖTLANDS LÄN</t>
        </is>
      </c>
      <c r="E5628" t="inlineStr">
        <is>
          <t>KINDA</t>
        </is>
      </c>
      <c r="G5628" t="n">
        <v>3.7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34177-2023</t>
        </is>
      </c>
      <c r="B5629" s="1" t="n">
        <v>45138</v>
      </c>
      <c r="C5629" s="1" t="n">
        <v>45192</v>
      </c>
      <c r="D5629" t="inlineStr">
        <is>
          <t>ÖSTERGÖTLANDS LÄN</t>
        </is>
      </c>
      <c r="E5629" t="inlineStr">
        <is>
          <t>YDRE</t>
        </is>
      </c>
      <c r="G5629" t="n">
        <v>1.3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34296-2023</t>
        </is>
      </c>
      <c r="B5630" s="1" t="n">
        <v>45138</v>
      </c>
      <c r="C5630" s="1" t="n">
        <v>45192</v>
      </c>
      <c r="D5630" t="inlineStr">
        <is>
          <t>ÖSTERGÖTLANDS LÄN</t>
        </is>
      </c>
      <c r="E5630" t="inlineStr">
        <is>
          <t>LINKÖPING</t>
        </is>
      </c>
      <c r="G5630" t="n">
        <v>3.2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34181-2023</t>
        </is>
      </c>
      <c r="B5631" s="1" t="n">
        <v>45138</v>
      </c>
      <c r="C5631" s="1" t="n">
        <v>45192</v>
      </c>
      <c r="D5631" t="inlineStr">
        <is>
          <t>ÖSTERGÖTLANDS LÄN</t>
        </is>
      </c>
      <c r="E5631" t="inlineStr">
        <is>
          <t>YDRE</t>
        </is>
      </c>
      <c r="G5631" t="n">
        <v>1.8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34470-2023</t>
        </is>
      </c>
      <c r="B5632" s="1" t="n">
        <v>45139</v>
      </c>
      <c r="C5632" s="1" t="n">
        <v>45192</v>
      </c>
      <c r="D5632" t="inlineStr">
        <is>
          <t>ÖSTERGÖTLANDS LÄN</t>
        </is>
      </c>
      <c r="E5632" t="inlineStr">
        <is>
          <t>LINKÖPING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34627-2023</t>
        </is>
      </c>
      <c r="B5633" s="1" t="n">
        <v>45139</v>
      </c>
      <c r="C5633" s="1" t="n">
        <v>45192</v>
      </c>
      <c r="D5633" t="inlineStr">
        <is>
          <t>ÖSTERGÖTLANDS LÄN</t>
        </is>
      </c>
      <c r="E5633" t="inlineStr">
        <is>
          <t>KINDA</t>
        </is>
      </c>
      <c r="G5633" t="n">
        <v>1.7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34372-2023</t>
        </is>
      </c>
      <c r="B5634" s="1" t="n">
        <v>45139</v>
      </c>
      <c r="C5634" s="1" t="n">
        <v>45192</v>
      </c>
      <c r="D5634" t="inlineStr">
        <is>
          <t>ÖSTERGÖTLANDS LÄN</t>
        </is>
      </c>
      <c r="E5634" t="inlineStr">
        <is>
          <t>KINDA</t>
        </is>
      </c>
      <c r="G5634" t="n">
        <v>1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34877-2023</t>
        </is>
      </c>
      <c r="B5635" s="1" t="n">
        <v>45140</v>
      </c>
      <c r="C5635" s="1" t="n">
        <v>45192</v>
      </c>
      <c r="D5635" t="inlineStr">
        <is>
          <t>ÖSTERGÖTLANDS LÄN</t>
        </is>
      </c>
      <c r="E5635" t="inlineStr">
        <is>
          <t>LINKÖPING</t>
        </is>
      </c>
      <c r="G5635" t="n">
        <v>1.9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34875-2023</t>
        </is>
      </c>
      <c r="B5636" s="1" t="n">
        <v>45140</v>
      </c>
      <c r="C5636" s="1" t="n">
        <v>45192</v>
      </c>
      <c r="D5636" t="inlineStr">
        <is>
          <t>ÖSTERGÖTLANDS LÄN</t>
        </is>
      </c>
      <c r="E5636" t="inlineStr">
        <is>
          <t>LINKÖPING</t>
        </is>
      </c>
      <c r="G5636" t="n">
        <v>3.2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34889-2023</t>
        </is>
      </c>
      <c r="B5637" s="1" t="n">
        <v>45140</v>
      </c>
      <c r="C5637" s="1" t="n">
        <v>45192</v>
      </c>
      <c r="D5637" t="inlineStr">
        <is>
          <t>ÖSTERGÖTLANDS LÄN</t>
        </is>
      </c>
      <c r="E5637" t="inlineStr">
        <is>
          <t>LINKÖPING</t>
        </is>
      </c>
      <c r="G5637" t="n">
        <v>1.2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34873-2023</t>
        </is>
      </c>
      <c r="B5638" s="1" t="n">
        <v>45140</v>
      </c>
      <c r="C5638" s="1" t="n">
        <v>45192</v>
      </c>
      <c r="D5638" t="inlineStr">
        <is>
          <t>ÖSTERGÖTLANDS LÄN</t>
        </is>
      </c>
      <c r="E5638" t="inlineStr">
        <is>
          <t>LINKÖPING</t>
        </is>
      </c>
      <c r="G5638" t="n">
        <v>3.2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34881-2023</t>
        </is>
      </c>
      <c r="B5639" s="1" t="n">
        <v>45140</v>
      </c>
      <c r="C5639" s="1" t="n">
        <v>45192</v>
      </c>
      <c r="D5639" t="inlineStr">
        <is>
          <t>ÖSTERGÖTLANDS LÄN</t>
        </is>
      </c>
      <c r="E5639" t="inlineStr">
        <is>
          <t>LINKÖPING</t>
        </is>
      </c>
      <c r="G5639" t="n">
        <v>1.9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34872-2023</t>
        </is>
      </c>
      <c r="B5640" s="1" t="n">
        <v>45140</v>
      </c>
      <c r="C5640" s="1" t="n">
        <v>45192</v>
      </c>
      <c r="D5640" t="inlineStr">
        <is>
          <t>ÖSTERGÖTLANDS LÄN</t>
        </is>
      </c>
      <c r="E5640" t="inlineStr">
        <is>
          <t>LINKÖPING</t>
        </is>
      </c>
      <c r="G5640" t="n">
        <v>4.8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34879-2023</t>
        </is>
      </c>
      <c r="B5641" s="1" t="n">
        <v>45140</v>
      </c>
      <c r="C5641" s="1" t="n">
        <v>45192</v>
      </c>
      <c r="D5641" t="inlineStr">
        <is>
          <t>ÖSTERGÖTLANDS LÄN</t>
        </is>
      </c>
      <c r="E5641" t="inlineStr">
        <is>
          <t>LINKÖPING</t>
        </is>
      </c>
      <c r="G5641" t="n">
        <v>1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34839-2023</t>
        </is>
      </c>
      <c r="B5642" s="1" t="n">
        <v>45141</v>
      </c>
      <c r="C5642" s="1" t="n">
        <v>45192</v>
      </c>
      <c r="D5642" t="inlineStr">
        <is>
          <t>ÖSTERGÖTLANDS LÄN</t>
        </is>
      </c>
      <c r="E5642" t="inlineStr">
        <is>
          <t>BOXHOLM</t>
        </is>
      </c>
      <c r="G5642" t="n">
        <v>2.6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34812-2023</t>
        </is>
      </c>
      <c r="B5643" s="1" t="n">
        <v>45141</v>
      </c>
      <c r="C5643" s="1" t="n">
        <v>45192</v>
      </c>
      <c r="D5643" t="inlineStr">
        <is>
          <t>ÖSTERGÖTLANDS LÄN</t>
        </is>
      </c>
      <c r="E5643" t="inlineStr">
        <is>
          <t>BOXHOLM</t>
        </is>
      </c>
      <c r="G5643" t="n">
        <v>1.5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34977-2023</t>
        </is>
      </c>
      <c r="B5644" s="1" t="n">
        <v>45141</v>
      </c>
      <c r="C5644" s="1" t="n">
        <v>45192</v>
      </c>
      <c r="D5644" t="inlineStr">
        <is>
          <t>ÖSTERGÖTLANDS LÄN</t>
        </is>
      </c>
      <c r="E5644" t="inlineStr">
        <is>
          <t>NORRKÖPING</t>
        </is>
      </c>
      <c r="F5644" t="inlineStr">
        <is>
          <t>Allmännings- och besparingsskogar</t>
        </is>
      </c>
      <c r="G5644" t="n">
        <v>3.8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34864-2023</t>
        </is>
      </c>
      <c r="B5645" s="1" t="n">
        <v>45141</v>
      </c>
      <c r="C5645" s="1" t="n">
        <v>45192</v>
      </c>
      <c r="D5645" t="inlineStr">
        <is>
          <t>ÖSTERGÖTLANDS LÄN</t>
        </is>
      </c>
      <c r="E5645" t="inlineStr">
        <is>
          <t>LINKÖPING</t>
        </is>
      </c>
      <c r="G5645" t="n">
        <v>3.3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34882-2023</t>
        </is>
      </c>
      <c r="B5646" s="1" t="n">
        <v>45141</v>
      </c>
      <c r="C5646" s="1" t="n">
        <v>45192</v>
      </c>
      <c r="D5646" t="inlineStr">
        <is>
          <t>ÖSTERGÖTLANDS LÄN</t>
        </is>
      </c>
      <c r="E5646" t="inlineStr">
        <is>
          <t>KINDA</t>
        </is>
      </c>
      <c r="G5646" t="n">
        <v>0.8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34930-2023</t>
        </is>
      </c>
      <c r="B5647" s="1" t="n">
        <v>45142</v>
      </c>
      <c r="C5647" s="1" t="n">
        <v>45192</v>
      </c>
      <c r="D5647" t="inlineStr">
        <is>
          <t>ÖSTERGÖTLANDS LÄN</t>
        </is>
      </c>
      <c r="E5647" t="inlineStr">
        <is>
          <t>LINKÖPING</t>
        </is>
      </c>
      <c r="G5647" t="n">
        <v>0.7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34928-2023</t>
        </is>
      </c>
      <c r="B5648" s="1" t="n">
        <v>45142</v>
      </c>
      <c r="C5648" s="1" t="n">
        <v>45192</v>
      </c>
      <c r="D5648" t="inlineStr">
        <is>
          <t>ÖSTERGÖTLANDS LÄN</t>
        </is>
      </c>
      <c r="E5648" t="inlineStr">
        <is>
          <t>LINKÖPING</t>
        </is>
      </c>
      <c r="G5648" t="n">
        <v>1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35081-2023</t>
        </is>
      </c>
      <c r="B5649" s="1" t="n">
        <v>45145</v>
      </c>
      <c r="C5649" s="1" t="n">
        <v>45192</v>
      </c>
      <c r="D5649" t="inlineStr">
        <is>
          <t>ÖSTERGÖTLANDS LÄN</t>
        </is>
      </c>
      <c r="E5649" t="inlineStr">
        <is>
          <t>BOXHOLM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35209-2023</t>
        </is>
      </c>
      <c r="B5650" s="1" t="n">
        <v>45145</v>
      </c>
      <c r="C5650" s="1" t="n">
        <v>45192</v>
      </c>
      <c r="D5650" t="inlineStr">
        <is>
          <t>ÖSTERGÖTLANDS LÄN</t>
        </is>
      </c>
      <c r="E5650" t="inlineStr">
        <is>
          <t>YDRE</t>
        </is>
      </c>
      <c r="G5650" t="n">
        <v>5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35099-2023</t>
        </is>
      </c>
      <c r="B5651" s="1" t="n">
        <v>45145</v>
      </c>
      <c r="C5651" s="1" t="n">
        <v>45192</v>
      </c>
      <c r="D5651" t="inlineStr">
        <is>
          <t>ÖSTERGÖTLANDS LÄN</t>
        </is>
      </c>
      <c r="E5651" t="inlineStr">
        <is>
          <t>BOXHOLM</t>
        </is>
      </c>
      <c r="G5651" t="n">
        <v>4.1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35124-2023</t>
        </is>
      </c>
      <c r="B5652" s="1" t="n">
        <v>45145</v>
      </c>
      <c r="C5652" s="1" t="n">
        <v>45192</v>
      </c>
      <c r="D5652" t="inlineStr">
        <is>
          <t>ÖSTERGÖTLANDS LÄN</t>
        </is>
      </c>
      <c r="E5652" t="inlineStr">
        <is>
          <t>ÖDESHÖG</t>
        </is>
      </c>
      <c r="G5652" t="n">
        <v>2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35146-2023</t>
        </is>
      </c>
      <c r="B5653" s="1" t="n">
        <v>45145</v>
      </c>
      <c r="C5653" s="1" t="n">
        <v>45192</v>
      </c>
      <c r="D5653" t="inlineStr">
        <is>
          <t>ÖSTERGÖTLANDS LÄN</t>
        </is>
      </c>
      <c r="E5653" t="inlineStr">
        <is>
          <t>NORRKÖPING</t>
        </is>
      </c>
      <c r="G5653" t="n">
        <v>2.8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35203-2023</t>
        </is>
      </c>
      <c r="B5654" s="1" t="n">
        <v>45145</v>
      </c>
      <c r="C5654" s="1" t="n">
        <v>45192</v>
      </c>
      <c r="D5654" t="inlineStr">
        <is>
          <t>ÖSTERGÖTLANDS LÄN</t>
        </is>
      </c>
      <c r="E5654" t="inlineStr">
        <is>
          <t>KINDA</t>
        </is>
      </c>
      <c r="G5654" t="n">
        <v>1.4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35104-2023</t>
        </is>
      </c>
      <c r="B5655" s="1" t="n">
        <v>45145</v>
      </c>
      <c r="C5655" s="1" t="n">
        <v>45192</v>
      </c>
      <c r="D5655" t="inlineStr">
        <is>
          <t>ÖSTERGÖTLANDS LÄN</t>
        </is>
      </c>
      <c r="E5655" t="inlineStr">
        <is>
          <t>KINDA</t>
        </is>
      </c>
      <c r="G5655" t="n">
        <v>2.6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35148-2023</t>
        </is>
      </c>
      <c r="B5656" s="1" t="n">
        <v>45145</v>
      </c>
      <c r="C5656" s="1" t="n">
        <v>45192</v>
      </c>
      <c r="D5656" t="inlineStr">
        <is>
          <t>ÖSTERGÖTLANDS LÄN</t>
        </is>
      </c>
      <c r="E5656" t="inlineStr">
        <is>
          <t>NORRKÖPING</t>
        </is>
      </c>
      <c r="G5656" t="n">
        <v>0.9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35393-2023</t>
        </is>
      </c>
      <c r="B5657" s="1" t="n">
        <v>45146</v>
      </c>
      <c r="C5657" s="1" t="n">
        <v>45192</v>
      </c>
      <c r="D5657" t="inlineStr">
        <is>
          <t>ÖSTERGÖTLANDS LÄN</t>
        </is>
      </c>
      <c r="E5657" t="inlineStr">
        <is>
          <t>MJÖLBY</t>
        </is>
      </c>
      <c r="F5657" t="inlineStr">
        <is>
          <t>Kyrkan</t>
        </is>
      </c>
      <c r="G5657" t="n">
        <v>4.1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35427-2023</t>
        </is>
      </c>
      <c r="B5658" s="1" t="n">
        <v>45146</v>
      </c>
      <c r="C5658" s="1" t="n">
        <v>45192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2.5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35481-2023</t>
        </is>
      </c>
      <c r="B5659" s="1" t="n">
        <v>45146</v>
      </c>
      <c r="C5659" s="1" t="n">
        <v>45192</v>
      </c>
      <c r="D5659" t="inlineStr">
        <is>
          <t>ÖSTERGÖTLANDS LÄN</t>
        </is>
      </c>
      <c r="E5659" t="inlineStr">
        <is>
          <t>LINKÖPING</t>
        </is>
      </c>
      <c r="F5659" t="inlineStr">
        <is>
          <t>Övriga Aktiebolag</t>
        </is>
      </c>
      <c r="G5659" t="n">
        <v>3.3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35357-2023</t>
        </is>
      </c>
      <c r="B5660" s="1" t="n">
        <v>45146</v>
      </c>
      <c r="C5660" s="1" t="n">
        <v>45192</v>
      </c>
      <c r="D5660" t="inlineStr">
        <is>
          <t>ÖSTERGÖTLANDS LÄN</t>
        </is>
      </c>
      <c r="E5660" t="inlineStr">
        <is>
          <t>BOXHOLM</t>
        </is>
      </c>
      <c r="G5660" t="n">
        <v>9.6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35447-2023</t>
        </is>
      </c>
      <c r="B5661" s="1" t="n">
        <v>45146</v>
      </c>
      <c r="C5661" s="1" t="n">
        <v>45192</v>
      </c>
      <c r="D5661" t="inlineStr">
        <is>
          <t>ÖSTERGÖTLANDS LÄN</t>
        </is>
      </c>
      <c r="E5661" t="inlineStr">
        <is>
          <t>MJÖLBY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35456-2023</t>
        </is>
      </c>
      <c r="B5662" s="1" t="n">
        <v>45146</v>
      </c>
      <c r="C5662" s="1" t="n">
        <v>45192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1.6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35463-2023</t>
        </is>
      </c>
      <c r="B5663" s="1" t="n">
        <v>45146</v>
      </c>
      <c r="C5663" s="1" t="n">
        <v>45192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1.8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35483-2023</t>
        </is>
      </c>
      <c r="B5664" s="1" t="n">
        <v>45146</v>
      </c>
      <c r="C5664" s="1" t="n">
        <v>45192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0.8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35738-2023</t>
        </is>
      </c>
      <c r="B5665" s="1" t="n">
        <v>45147</v>
      </c>
      <c r="C5665" s="1" t="n">
        <v>45192</v>
      </c>
      <c r="D5665" t="inlineStr">
        <is>
          <t>ÖSTERGÖTLANDS LÄN</t>
        </is>
      </c>
      <c r="E5665" t="inlineStr">
        <is>
          <t>ÅTVIDABERG</t>
        </is>
      </c>
      <c r="G5665" t="n">
        <v>1.8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35781-2023</t>
        </is>
      </c>
      <c r="B5666" s="1" t="n">
        <v>45147</v>
      </c>
      <c r="C5666" s="1" t="n">
        <v>45192</v>
      </c>
      <c r="D5666" t="inlineStr">
        <is>
          <t>ÖSTERGÖTLANDS LÄN</t>
        </is>
      </c>
      <c r="E5666" t="inlineStr">
        <is>
          <t>LINKÖPING</t>
        </is>
      </c>
      <c r="G5666" t="n">
        <v>1.6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35598-2023</t>
        </is>
      </c>
      <c r="B5667" s="1" t="n">
        <v>45147</v>
      </c>
      <c r="C5667" s="1" t="n">
        <v>45192</v>
      </c>
      <c r="D5667" t="inlineStr">
        <is>
          <t>ÖSTERGÖTLANDS LÄN</t>
        </is>
      </c>
      <c r="E5667" t="inlineStr">
        <is>
          <t>FINSPÅNG</t>
        </is>
      </c>
      <c r="G5667" t="n">
        <v>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35735-2023</t>
        </is>
      </c>
      <c r="B5668" s="1" t="n">
        <v>45147</v>
      </c>
      <c r="C5668" s="1" t="n">
        <v>45192</v>
      </c>
      <c r="D5668" t="inlineStr">
        <is>
          <t>ÖSTERGÖTLANDS LÄN</t>
        </is>
      </c>
      <c r="E5668" t="inlineStr">
        <is>
          <t>LINKÖPING</t>
        </is>
      </c>
      <c r="G5668" t="n">
        <v>2.8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35648-2023</t>
        </is>
      </c>
      <c r="B5669" s="1" t="n">
        <v>45147</v>
      </c>
      <c r="C5669" s="1" t="n">
        <v>45192</v>
      </c>
      <c r="D5669" t="inlineStr">
        <is>
          <t>ÖSTERGÖTLANDS LÄN</t>
        </is>
      </c>
      <c r="E5669" t="inlineStr">
        <is>
          <t>BOXHOLM</t>
        </is>
      </c>
      <c r="G5669" t="n">
        <v>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45192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45192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45192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45192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45192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45192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45192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45192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45192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45192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45192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45192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45192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45192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45192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45192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45192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45192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45192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45192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45192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45192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45192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45192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45192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45192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45192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45192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45192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45192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45192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45192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45192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45192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45192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45192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45192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45192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45192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45192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45192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45192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45192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45192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45192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45192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45192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45192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45192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45192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45192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45192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45192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45192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45192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45192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45192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45192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45192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45192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45192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45192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45192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45192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45192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45192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45192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45192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45192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45192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45192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45192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45192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45192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45192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45192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45192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45192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45192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45192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45192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45192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41231-2023</t>
        </is>
      </c>
      <c r="B5752" s="1" t="n">
        <v>45174</v>
      </c>
      <c r="C5752" s="1" t="n">
        <v>45192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42673-2023</t>
        </is>
      </c>
      <c r="B5753" s="1" t="n">
        <v>45181</v>
      </c>
      <c r="C5753" s="1" t="n">
        <v>45192</v>
      </c>
      <c r="D5753" t="inlineStr">
        <is>
          <t>ÖSTERGÖTLANDS LÄN</t>
        </is>
      </c>
      <c r="E5753" t="inlineStr">
        <is>
          <t>SÖDERKÖPING</t>
        </is>
      </c>
      <c r="G5753" t="n">
        <v>0.3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42733-2023</t>
        </is>
      </c>
      <c r="B5754" s="1" t="n">
        <v>45181</v>
      </c>
      <c r="C5754" s="1" t="n">
        <v>45192</v>
      </c>
      <c r="D5754" t="inlineStr">
        <is>
          <t>ÖSTERGÖTLANDS LÄN</t>
        </is>
      </c>
      <c r="E5754" t="inlineStr">
        <is>
          <t>SÖDERKÖPING</t>
        </is>
      </c>
      <c r="G5754" t="n">
        <v>2.7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42753-2023</t>
        </is>
      </c>
      <c r="B5755" s="1" t="n">
        <v>45181</v>
      </c>
      <c r="C5755" s="1" t="n">
        <v>45192</v>
      </c>
      <c r="D5755" t="inlineStr">
        <is>
          <t>ÖSTERGÖTLANDS LÄN</t>
        </is>
      </c>
      <c r="E5755" t="inlineStr">
        <is>
          <t>SÖDERKÖPING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42837-2023</t>
        </is>
      </c>
      <c r="B5756" s="1" t="n">
        <v>45182</v>
      </c>
      <c r="C5756" s="1" t="n">
        <v>45192</v>
      </c>
      <c r="D5756" t="inlineStr">
        <is>
          <t>ÖSTERGÖTLANDS LÄN</t>
        </is>
      </c>
      <c r="E5756" t="inlineStr">
        <is>
          <t>MJÖLBY</t>
        </is>
      </c>
      <c r="G5756" t="n">
        <v>2.2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42956-2023</t>
        </is>
      </c>
      <c r="B5757" s="1" t="n">
        <v>45182</v>
      </c>
      <c r="C5757" s="1" t="n">
        <v>45192</v>
      </c>
      <c r="D5757" t="inlineStr">
        <is>
          <t>ÖSTERGÖTLANDS LÄN</t>
        </is>
      </c>
      <c r="E5757" t="inlineStr">
        <is>
          <t>KINDA</t>
        </is>
      </c>
      <c r="G5757" t="n">
        <v>1.5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43082-2023</t>
        </is>
      </c>
      <c r="B5758" s="1" t="n">
        <v>45182</v>
      </c>
      <c r="C5758" s="1" t="n">
        <v>45192</v>
      </c>
      <c r="D5758" t="inlineStr">
        <is>
          <t>ÖSTERGÖTLANDS LÄN</t>
        </is>
      </c>
      <c r="E5758" t="inlineStr">
        <is>
          <t>ÅTVIDABERG</t>
        </is>
      </c>
      <c r="G5758" t="n">
        <v>2.4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42928-2023</t>
        </is>
      </c>
      <c r="B5759" s="1" t="n">
        <v>45182</v>
      </c>
      <c r="C5759" s="1" t="n">
        <v>45192</v>
      </c>
      <c r="D5759" t="inlineStr">
        <is>
          <t>ÖSTERGÖTLANDS LÄN</t>
        </is>
      </c>
      <c r="E5759" t="inlineStr">
        <is>
          <t>MOTALA</t>
        </is>
      </c>
      <c r="F5759" t="inlineStr">
        <is>
          <t>Kyrkan</t>
        </is>
      </c>
      <c r="G5759" t="n">
        <v>3.3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43263-2023</t>
        </is>
      </c>
      <c r="B5760" s="1" t="n">
        <v>45183</v>
      </c>
      <c r="C5760" s="1" t="n">
        <v>45192</v>
      </c>
      <c r="D5760" t="inlineStr">
        <is>
          <t>ÖSTERGÖTLANDS LÄN</t>
        </is>
      </c>
      <c r="E5760" t="inlineStr">
        <is>
          <t>ÖDESHÖG</t>
        </is>
      </c>
      <c r="G5760" t="n">
        <v>1.8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43257-2023</t>
        </is>
      </c>
      <c r="B5761" s="1" t="n">
        <v>45183</v>
      </c>
      <c r="C5761" s="1" t="n">
        <v>45192</v>
      </c>
      <c r="D5761" t="inlineStr">
        <is>
          <t>ÖSTERGÖTLANDS LÄN</t>
        </is>
      </c>
      <c r="E5761" t="inlineStr">
        <is>
          <t>MOTALA</t>
        </is>
      </c>
      <c r="G5761" t="n">
        <v>1.3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43265-2023</t>
        </is>
      </c>
      <c r="B5762" s="1" t="n">
        <v>45183</v>
      </c>
      <c r="C5762" s="1" t="n">
        <v>45192</v>
      </c>
      <c r="D5762" t="inlineStr">
        <is>
          <t>ÖSTERGÖTLANDS LÄN</t>
        </is>
      </c>
      <c r="E5762" t="inlineStr">
        <is>
          <t>ÖDESHÖG</t>
        </is>
      </c>
      <c r="G5762" t="n">
        <v>2.8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43546-2023</t>
        </is>
      </c>
      <c r="B5763" s="1" t="n">
        <v>45184</v>
      </c>
      <c r="C5763" s="1" t="n">
        <v>45192</v>
      </c>
      <c r="D5763" t="inlineStr">
        <is>
          <t>ÖSTERGÖTLANDS LÄN</t>
        </is>
      </c>
      <c r="E5763" t="inlineStr">
        <is>
          <t>SÖDERKÖPING</t>
        </is>
      </c>
      <c r="G5763" t="n">
        <v>1.5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43455-2023</t>
        </is>
      </c>
      <c r="B5764" s="1" t="n">
        <v>45184</v>
      </c>
      <c r="C5764" s="1" t="n">
        <v>45192</v>
      </c>
      <c r="D5764" t="inlineStr">
        <is>
          <t>ÖSTERGÖTLANDS LÄN</t>
        </is>
      </c>
      <c r="E5764" t="inlineStr">
        <is>
          <t>YDRE</t>
        </is>
      </c>
      <c r="G5764" t="n">
        <v>1.8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43521-2023</t>
        </is>
      </c>
      <c r="B5765" s="1" t="n">
        <v>45184</v>
      </c>
      <c r="C5765" s="1" t="n">
        <v>45192</v>
      </c>
      <c r="D5765" t="inlineStr">
        <is>
          <t>ÖSTERGÖTLANDS LÄN</t>
        </is>
      </c>
      <c r="E5765" t="inlineStr">
        <is>
          <t>ÖDESHÖG</t>
        </is>
      </c>
      <c r="G5765" t="n">
        <v>1.1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43460-2023</t>
        </is>
      </c>
      <c r="B5766" s="1" t="n">
        <v>45184</v>
      </c>
      <c r="C5766" s="1" t="n">
        <v>45192</v>
      </c>
      <c r="D5766" t="inlineStr">
        <is>
          <t>ÖSTERGÖTLANDS LÄN</t>
        </is>
      </c>
      <c r="E5766" t="inlineStr">
        <is>
          <t>NORRKÖPING</t>
        </is>
      </c>
      <c r="F5766" t="inlineStr">
        <is>
          <t>Holmen skog AB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43495-2023</t>
        </is>
      </c>
      <c r="B5767" s="1" t="n">
        <v>45184</v>
      </c>
      <c r="C5767" s="1" t="n">
        <v>45192</v>
      </c>
      <c r="D5767" t="inlineStr">
        <is>
          <t>ÖSTERGÖTLANDS LÄN</t>
        </is>
      </c>
      <c r="E5767" t="inlineStr">
        <is>
          <t>SÖDERKÖPING</t>
        </is>
      </c>
      <c r="G5767" t="n">
        <v>2.7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43611-2023</t>
        </is>
      </c>
      <c r="B5768" s="1" t="n">
        <v>45184</v>
      </c>
      <c r="C5768" s="1" t="n">
        <v>45192</v>
      </c>
      <c r="D5768" t="inlineStr">
        <is>
          <t>ÖSTERGÖTLANDS LÄN</t>
        </is>
      </c>
      <c r="E5768" t="inlineStr">
        <is>
          <t>SÖDERKÖPING</t>
        </is>
      </c>
      <c r="G5768" t="n">
        <v>1.2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43703-2023</t>
        </is>
      </c>
      <c r="B5769" s="1" t="n">
        <v>45187</v>
      </c>
      <c r="C5769" s="1" t="n">
        <v>45192</v>
      </c>
      <c r="D5769" t="inlineStr">
        <is>
          <t>ÖSTERGÖTLANDS LÄN</t>
        </is>
      </c>
      <c r="E5769" t="inlineStr">
        <is>
          <t>LINKÖPING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43938-2023</t>
        </is>
      </c>
      <c r="B5770" s="1" t="n">
        <v>45187</v>
      </c>
      <c r="C5770" s="1" t="n">
        <v>45192</v>
      </c>
      <c r="D5770" t="inlineStr">
        <is>
          <t>ÖSTERGÖTLANDS LÄN</t>
        </is>
      </c>
      <c r="E5770" t="inlineStr">
        <is>
          <t>ÅTVIDABERG</t>
        </is>
      </c>
      <c r="F5770" t="inlineStr">
        <is>
          <t>Övriga Aktiebolag</t>
        </is>
      </c>
      <c r="G5770" t="n">
        <v>2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43904-2023</t>
        </is>
      </c>
      <c r="B5771" s="1" t="n">
        <v>45187</v>
      </c>
      <c r="C5771" s="1" t="n">
        <v>45192</v>
      </c>
      <c r="D5771" t="inlineStr">
        <is>
          <t>ÖSTERGÖTLANDS LÄN</t>
        </is>
      </c>
      <c r="E5771" t="inlineStr">
        <is>
          <t>YDRE</t>
        </is>
      </c>
      <c r="G5771" t="n">
        <v>4.5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43934-2023</t>
        </is>
      </c>
      <c r="B5772" s="1" t="n">
        <v>45187</v>
      </c>
      <c r="C5772" s="1" t="n">
        <v>45192</v>
      </c>
      <c r="D5772" t="inlineStr">
        <is>
          <t>ÖSTERGÖTLANDS LÄN</t>
        </is>
      </c>
      <c r="E5772" t="inlineStr">
        <is>
          <t>LINKÖPING</t>
        </is>
      </c>
      <c r="F5772" t="inlineStr">
        <is>
          <t>Övriga Aktiebolag</t>
        </is>
      </c>
      <c r="G5772" t="n">
        <v>3.8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43807-2023</t>
        </is>
      </c>
      <c r="B5773" s="1" t="n">
        <v>45187</v>
      </c>
      <c r="C5773" s="1" t="n">
        <v>45192</v>
      </c>
      <c r="D5773" t="inlineStr">
        <is>
          <t>ÖSTERGÖTLANDS LÄN</t>
        </is>
      </c>
      <c r="E5773" t="inlineStr">
        <is>
          <t>BOXHOLM</t>
        </is>
      </c>
      <c r="G5773" t="n">
        <v>2.2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43688-2023</t>
        </is>
      </c>
      <c r="B5774" s="1" t="n">
        <v>45187</v>
      </c>
      <c r="C5774" s="1" t="n">
        <v>45192</v>
      </c>
      <c r="D5774" t="inlineStr">
        <is>
          <t>ÖSTERGÖTLANDS LÄN</t>
        </is>
      </c>
      <c r="E5774" t="inlineStr">
        <is>
          <t>KINDA</t>
        </is>
      </c>
      <c r="F5774" t="inlineStr">
        <is>
          <t>Övriga Aktiebolag</t>
        </is>
      </c>
      <c r="G5774" t="n">
        <v>1.5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43824-2023</t>
        </is>
      </c>
      <c r="B5775" s="1" t="n">
        <v>45187</v>
      </c>
      <c r="C5775" s="1" t="n">
        <v>45192</v>
      </c>
      <c r="D5775" t="inlineStr">
        <is>
          <t>ÖSTERGÖTLANDS LÄN</t>
        </is>
      </c>
      <c r="E5775" t="inlineStr">
        <is>
          <t>BOXHOLM</t>
        </is>
      </c>
      <c r="G5775" t="n">
        <v>1.6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43940-2023</t>
        </is>
      </c>
      <c r="B5776" s="1" t="n">
        <v>45187</v>
      </c>
      <c r="C5776" s="1" t="n">
        <v>45192</v>
      </c>
      <c r="D5776" t="inlineStr">
        <is>
          <t>ÖSTERGÖTLANDS LÄN</t>
        </is>
      </c>
      <c r="E5776" t="inlineStr">
        <is>
          <t>ÅTVIDABERG</t>
        </is>
      </c>
      <c r="F5776" t="inlineStr">
        <is>
          <t>Övriga Aktiebolag</t>
        </is>
      </c>
      <c r="G5776" t="n">
        <v>3.7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44298-2023</t>
        </is>
      </c>
      <c r="B5777" s="1" t="n">
        <v>45187</v>
      </c>
      <c r="C5777" s="1" t="n">
        <v>45192</v>
      </c>
      <c r="D5777" t="inlineStr">
        <is>
          <t>ÖSTERGÖTLANDS LÄN</t>
        </is>
      </c>
      <c r="E5777" t="inlineStr">
        <is>
          <t>MOTALA</t>
        </is>
      </c>
      <c r="G5777" t="n">
        <v>2.5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44640-2023</t>
        </is>
      </c>
      <c r="B5778" s="1" t="n">
        <v>45189</v>
      </c>
      <c r="C5778" s="1" t="n">
        <v>45192</v>
      </c>
      <c r="D5778" t="inlineStr">
        <is>
          <t>ÖSTERGÖTLANDS LÄN</t>
        </is>
      </c>
      <c r="E5778" t="inlineStr">
        <is>
          <t>VALDEMARSVIK</t>
        </is>
      </c>
      <c r="G5778" t="n">
        <v>4.6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44819-2023</t>
        </is>
      </c>
      <c r="B5779" s="1" t="n">
        <v>45190</v>
      </c>
      <c r="C5779" s="1" t="n">
        <v>45192</v>
      </c>
      <c r="D5779" t="inlineStr">
        <is>
          <t>ÖSTERGÖTLANDS LÄN</t>
        </is>
      </c>
      <c r="E5779" t="inlineStr">
        <is>
          <t>SÖDERKÖPING</t>
        </is>
      </c>
      <c r="G5779" t="n">
        <v>0.5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45044-2023</t>
        </is>
      </c>
      <c r="B5780" s="1" t="n">
        <v>45191</v>
      </c>
      <c r="C5780" s="1" t="n">
        <v>45192</v>
      </c>
      <c r="D5780" t="inlineStr">
        <is>
          <t>ÖSTERGÖTLANDS LÄN</t>
        </is>
      </c>
      <c r="E5780" t="inlineStr">
        <is>
          <t>SÖDERKÖPING</t>
        </is>
      </c>
      <c r="G5780" t="n">
        <v>0.5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>
      <c r="A5781" t="inlineStr">
        <is>
          <t>A 45085-2023</t>
        </is>
      </c>
      <c r="B5781" s="1" t="n">
        <v>45191</v>
      </c>
      <c r="C5781" s="1" t="n">
        <v>45192</v>
      </c>
      <c r="D5781" t="inlineStr">
        <is>
          <t>ÖSTERGÖTLANDS LÄN</t>
        </is>
      </c>
      <c r="E5781" t="inlineStr">
        <is>
          <t>SÖDERKÖPING</t>
        </is>
      </c>
      <c r="G5781" t="n">
        <v>0.9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2023-09-23T07:09:35Z</dcterms:created>
  <dcterms:modified xmlns:dcterms="http://purl.org/dc/terms/" xmlns:xsi="http://www.w3.org/2001/XMLSchema-instance" xsi:type="dcterms:W3CDTF">2023-09-23T07:09:37Z</dcterms:modified>
</cp:coreProperties>
</file>