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45172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45172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45172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45172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45172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45172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45172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45172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42447-2020</t>
        </is>
      </c>
      <c r="B46" s="1" t="n">
        <v>44076</v>
      </c>
      <c r="C46" s="1" t="n">
        <v>45172</v>
      </c>
      <c r="D46" t="inlineStr">
        <is>
          <t>ÖSTERGÖTLANDS LÄN</t>
        </is>
      </c>
      <c r="E46" t="inlineStr">
        <is>
          <t>NORRKÖPING</t>
        </is>
      </c>
      <c r="G46" t="n">
        <v>5.2</v>
      </c>
      <c r="H46" t="n">
        <v>1</v>
      </c>
      <c r="I46" t="n">
        <v>4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5</v>
      </c>
      <c r="R46" s="2" t="inlineStr">
        <is>
          <t>Piploka
Barkticka
Bronshjon
Fällmossa
Vedticka</t>
        </is>
      </c>
      <c r="S46">
        <f>HYPERLINK("https://klasma.github.io/Logging_NORRKOPING/artfynd/A 42447-2020.xlsx")</f>
        <v/>
      </c>
      <c r="T46">
        <f>HYPERLINK("https://klasma.github.io/Logging_NORRKOPING/kartor/A 42447-2020.png")</f>
        <v/>
      </c>
      <c r="V46">
        <f>HYPERLINK("https://klasma.github.io/Logging_NORRKOPING/klagomål/A 42447-2020.docx")</f>
        <v/>
      </c>
      <c r="W46">
        <f>HYPERLINK("https://klasma.github.io/Logging_NORRKOPING/klagomålsmail/A 42447-2020.docx")</f>
        <v/>
      </c>
      <c r="X46">
        <f>HYPERLINK("https://klasma.github.io/Logging_NORRKOPING/tillsyn/A 42447-2020.docx")</f>
        <v/>
      </c>
      <c r="Y46">
        <f>HYPERLINK("https://klasma.github.io/Logging_NORRKOPING/tillsynsmail/A 42447-2020.docx")</f>
        <v/>
      </c>
    </row>
    <row r="47" ht="15" customHeight="1">
      <c r="A47" t="inlineStr">
        <is>
          <t>A 45008-2020</t>
        </is>
      </c>
      <c r="B47" s="1" t="n">
        <v>44088</v>
      </c>
      <c r="C47" s="1" t="n">
        <v>45172</v>
      </c>
      <c r="D47" t="inlineStr">
        <is>
          <t>ÖSTERGÖTLANDS LÄN</t>
        </is>
      </c>
      <c r="E47" t="inlineStr">
        <is>
          <t>KINDA</t>
        </is>
      </c>
      <c r="G47" t="n">
        <v>1.3</v>
      </c>
      <c r="H47" t="n">
        <v>2</v>
      </c>
      <c r="I47" t="n">
        <v>1</v>
      </c>
      <c r="J47" t="n">
        <v>2</v>
      </c>
      <c r="K47" t="n">
        <v>0</v>
      </c>
      <c r="L47" t="n">
        <v>2</v>
      </c>
      <c r="M47" t="n">
        <v>0</v>
      </c>
      <c r="N47" t="n">
        <v>0</v>
      </c>
      <c r="O47" t="n">
        <v>4</v>
      </c>
      <c r="P47" t="n">
        <v>2</v>
      </c>
      <c r="Q47" t="n">
        <v>5</v>
      </c>
      <c r="R47" s="2" t="inlineStr">
        <is>
          <t>Mosippa
Ryl
Rödlånke
Sandviol
Purpurknipprot</t>
        </is>
      </c>
      <c r="S47">
        <f>HYPERLINK("https://klasma.github.io/Logging_KINDA/artfynd/A 45008-2020.xlsx")</f>
        <v/>
      </c>
      <c r="T47">
        <f>HYPERLINK("https://klasma.github.io/Logging_KINDA/kartor/A 45008-2020.png")</f>
        <v/>
      </c>
      <c r="U47">
        <f>HYPERLINK("https://klasma.github.io/Logging_KINDA/knärot/A 45008-2020.png")</f>
        <v/>
      </c>
      <c r="V47">
        <f>HYPERLINK("https://klasma.github.io/Logging_KINDA/klagomål/A 45008-2020.docx")</f>
        <v/>
      </c>
      <c r="W47">
        <f>HYPERLINK("https://klasma.github.io/Logging_KINDA/klagomålsmail/A 45008-2020.docx")</f>
        <v/>
      </c>
      <c r="X47">
        <f>HYPERLINK("https://klasma.github.io/Logging_KINDA/tillsyn/A 45008-2020.docx")</f>
        <v/>
      </c>
      <c r="Y47">
        <f>HYPERLINK("https://klasma.github.io/Logging_KINDA/tillsynsmail/A 45008-2020.docx")</f>
        <v/>
      </c>
    </row>
    <row r="48" ht="15" customHeight="1">
      <c r="A48" t="inlineStr">
        <is>
          <t>A 10483-2021</t>
        </is>
      </c>
      <c r="B48" s="1" t="n">
        <v>44257</v>
      </c>
      <c r="C48" s="1" t="n">
        <v>45172</v>
      </c>
      <c r="D48" t="inlineStr">
        <is>
          <t>ÖSTERGÖTLANDS LÄN</t>
        </is>
      </c>
      <c r="E48" t="inlineStr">
        <is>
          <t>YDRE</t>
        </is>
      </c>
      <c r="G48" t="n">
        <v>1.1</v>
      </c>
      <c r="H48" t="n">
        <v>0</v>
      </c>
      <c r="I48" t="n">
        <v>3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5</v>
      </c>
      <c r="R48" s="2" t="inlineStr">
        <is>
          <t>Smalskaftslav
Vedtrappmossa
Bårdlav
Trädporella
Västlig hakmossa</t>
        </is>
      </c>
      <c r="S48">
        <f>HYPERLINK("https://klasma.github.io/Logging_YDRE/artfynd/A 10483-2021.xlsx")</f>
        <v/>
      </c>
      <c r="T48">
        <f>HYPERLINK("https://klasma.github.io/Logging_YDRE/kartor/A 10483-2021.png")</f>
        <v/>
      </c>
      <c r="V48">
        <f>HYPERLINK("https://klasma.github.io/Logging_YDRE/klagomål/A 10483-2021.docx")</f>
        <v/>
      </c>
      <c r="W48">
        <f>HYPERLINK("https://klasma.github.io/Logging_YDRE/klagomålsmail/A 10483-2021.docx")</f>
        <v/>
      </c>
      <c r="X48">
        <f>HYPERLINK("https://klasma.github.io/Logging_YDRE/tillsyn/A 10483-2021.docx")</f>
        <v/>
      </c>
      <c r="Y48">
        <f>HYPERLINK("https://klasma.github.io/Logging_YDRE/tillsynsmail/A 10483-2021.docx")</f>
        <v/>
      </c>
    </row>
    <row r="49" ht="15" customHeight="1">
      <c r="A49" t="inlineStr">
        <is>
          <t>A 38065-2021</t>
        </is>
      </c>
      <c r="B49" s="1" t="n">
        <v>44404</v>
      </c>
      <c r="C49" s="1" t="n">
        <v>45172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1.4</v>
      </c>
      <c r="H49" t="n">
        <v>0</v>
      </c>
      <c r="I49" t="n">
        <v>4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5</v>
      </c>
      <c r="R49" s="2" t="inlineStr">
        <is>
          <t>Vedskivlav
Bronshjon
Dropptaggsvamp
Granbarkgnagare
Grönpyrola</t>
        </is>
      </c>
      <c r="S49">
        <f>HYPERLINK("https://klasma.github.io/Logging_FINSPANG/artfynd/A 38065-2021.xlsx")</f>
        <v/>
      </c>
      <c r="T49">
        <f>HYPERLINK("https://klasma.github.io/Logging_FINSPANG/kartor/A 38065-2021.png")</f>
        <v/>
      </c>
      <c r="V49">
        <f>HYPERLINK("https://klasma.github.io/Logging_FINSPANG/klagomål/A 38065-2021.docx")</f>
        <v/>
      </c>
      <c r="W49">
        <f>HYPERLINK("https://klasma.github.io/Logging_FINSPANG/klagomålsmail/A 38065-2021.docx")</f>
        <v/>
      </c>
      <c r="X49">
        <f>HYPERLINK("https://klasma.github.io/Logging_FINSPANG/tillsyn/A 38065-2021.docx")</f>
        <v/>
      </c>
      <c r="Y49">
        <f>HYPERLINK("https://klasma.github.io/Logging_FINSPANG/tillsynsmail/A 38065-2021.docx")</f>
        <v/>
      </c>
    </row>
    <row r="50" ht="15" customHeight="1">
      <c r="A50" t="inlineStr">
        <is>
          <t>A 50496-2021</t>
        </is>
      </c>
      <c r="B50" s="1" t="n">
        <v>44458</v>
      </c>
      <c r="C50" s="1" t="n">
        <v>45172</v>
      </c>
      <c r="D50" t="inlineStr">
        <is>
          <t>ÖSTERGÖTLANDS LÄN</t>
        </is>
      </c>
      <c r="E50" t="inlineStr">
        <is>
          <t>ÅTVIDABERG</t>
        </is>
      </c>
      <c r="G50" t="n">
        <v>1.7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5</v>
      </c>
      <c r="R50" s="2" t="inlineStr">
        <is>
          <t>Skogstrappmossa
Tallticka
Ullticka
Tjockfotad fingersvamp
Blåsippa</t>
        </is>
      </c>
      <c r="S50">
        <f>HYPERLINK("https://klasma.github.io/Logging_ATVIDABERG/artfynd/A 50496-2021.xlsx")</f>
        <v/>
      </c>
      <c r="T50">
        <f>HYPERLINK("https://klasma.github.io/Logging_ATVIDABERG/kartor/A 50496-2021.png")</f>
        <v/>
      </c>
      <c r="V50">
        <f>HYPERLINK("https://klasma.github.io/Logging_ATVIDABERG/klagomål/A 50496-2021.docx")</f>
        <v/>
      </c>
      <c r="W50">
        <f>HYPERLINK("https://klasma.github.io/Logging_ATVIDABERG/klagomålsmail/A 50496-2021.docx")</f>
        <v/>
      </c>
      <c r="X50">
        <f>HYPERLINK("https://klasma.github.io/Logging_ATVIDABERG/tillsyn/A 50496-2021.docx")</f>
        <v/>
      </c>
      <c r="Y50">
        <f>HYPERLINK("https://klasma.github.io/Logging_ATVIDABERG/tillsynsmail/A 50496-2021.docx")</f>
        <v/>
      </c>
    </row>
    <row r="51" ht="15" customHeight="1">
      <c r="A51" t="inlineStr">
        <is>
          <t>A 50852-2021</t>
        </is>
      </c>
      <c r="B51" s="1" t="n">
        <v>44459</v>
      </c>
      <c r="C51" s="1" t="n">
        <v>45172</v>
      </c>
      <c r="D51" t="inlineStr">
        <is>
          <t>ÖSTERGÖTLANDS LÄN</t>
        </is>
      </c>
      <c r="E51" t="inlineStr">
        <is>
          <t>ÅTVIDABERG</t>
        </is>
      </c>
      <c r="G51" t="n">
        <v>5.9</v>
      </c>
      <c r="H51" t="n">
        <v>0</v>
      </c>
      <c r="I51" t="n">
        <v>2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Dvärgbägarlav
Vedskivlav
Vippärt
Blanksvart trämyra
Granbarkgnagare</t>
        </is>
      </c>
      <c r="S51">
        <f>HYPERLINK("https://klasma.github.io/Logging_ATVIDABERG/artfynd/A 50852-2021.xlsx")</f>
        <v/>
      </c>
      <c r="T51">
        <f>HYPERLINK("https://klasma.github.io/Logging_ATVIDABERG/kartor/A 50852-2021.png")</f>
        <v/>
      </c>
      <c r="V51">
        <f>HYPERLINK("https://klasma.github.io/Logging_ATVIDABERG/klagomål/A 50852-2021.docx")</f>
        <v/>
      </c>
      <c r="W51">
        <f>HYPERLINK("https://klasma.github.io/Logging_ATVIDABERG/klagomålsmail/A 50852-2021.docx")</f>
        <v/>
      </c>
      <c r="X51">
        <f>HYPERLINK("https://klasma.github.io/Logging_ATVIDABERG/tillsyn/A 50852-2021.docx")</f>
        <v/>
      </c>
      <c r="Y51">
        <f>HYPERLINK("https://klasma.github.io/Logging_ATVIDABERG/tillsynsmail/A 50852-2021.docx")</f>
        <v/>
      </c>
    </row>
    <row r="52" ht="15" customHeight="1">
      <c r="A52" t="inlineStr">
        <is>
          <t>A 57617-2021</t>
        </is>
      </c>
      <c r="B52" s="1" t="n">
        <v>44484</v>
      </c>
      <c r="C52" s="1" t="n">
        <v>45172</v>
      </c>
      <c r="D52" t="inlineStr">
        <is>
          <t>ÖSTERGÖTLANDS LÄN</t>
        </is>
      </c>
      <c r="E52" t="inlineStr">
        <is>
          <t>KINDA</t>
        </is>
      </c>
      <c r="G52" t="n">
        <v>2.3</v>
      </c>
      <c r="H52" t="n">
        <v>2</v>
      </c>
      <c r="I52" t="n">
        <v>2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5</v>
      </c>
      <c r="R52" s="2" t="inlineStr">
        <is>
          <t>Tallticka
Talltita
Bronshjon
Vågbandad barkbock
Blåsippa</t>
        </is>
      </c>
      <c r="S52">
        <f>HYPERLINK("https://klasma.github.io/Logging_KINDA/artfynd/A 57617-2021.xlsx")</f>
        <v/>
      </c>
      <c r="T52">
        <f>HYPERLINK("https://klasma.github.io/Logging_KINDA/kartor/A 57617-2021.png")</f>
        <v/>
      </c>
      <c r="V52">
        <f>HYPERLINK("https://klasma.github.io/Logging_KINDA/klagomål/A 57617-2021.docx")</f>
        <v/>
      </c>
      <c r="W52">
        <f>HYPERLINK("https://klasma.github.io/Logging_KINDA/klagomålsmail/A 57617-2021.docx")</f>
        <v/>
      </c>
      <c r="X52">
        <f>HYPERLINK("https://klasma.github.io/Logging_KINDA/tillsyn/A 57617-2021.docx")</f>
        <v/>
      </c>
      <c r="Y52">
        <f>HYPERLINK("https://klasma.github.io/Logging_KINDA/tillsynsmail/A 57617-2021.docx")</f>
        <v/>
      </c>
    </row>
    <row r="53" ht="15" customHeight="1">
      <c r="A53" t="inlineStr">
        <is>
          <t>A 72592-2021</t>
        </is>
      </c>
      <c r="B53" s="1" t="n">
        <v>44546</v>
      </c>
      <c r="C53" s="1" t="n">
        <v>45172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Holmen skog AB</t>
        </is>
      </c>
      <c r="G53" t="n">
        <v>2</v>
      </c>
      <c r="H53" t="n">
        <v>0</v>
      </c>
      <c r="I53" t="n">
        <v>0</v>
      </c>
      <c r="J53" t="n">
        <v>4</v>
      </c>
      <c r="K53" t="n">
        <v>0</v>
      </c>
      <c r="L53" t="n">
        <v>1</v>
      </c>
      <c r="M53" t="n">
        <v>0</v>
      </c>
      <c r="N53" t="n">
        <v>0</v>
      </c>
      <c r="O53" t="n">
        <v>5</v>
      </c>
      <c r="P53" t="n">
        <v>1</v>
      </c>
      <c r="Q53" t="n">
        <v>5</v>
      </c>
      <c r="R53" s="2" t="inlineStr">
        <is>
          <t>Ask
Bergjohannesört
Krusfrö
Vippärt
Ängsskära</t>
        </is>
      </c>
      <c r="S53">
        <f>HYPERLINK("https://klasma.github.io/Logging_ATVIDABERG/artfynd/A 72592-2021.xlsx")</f>
        <v/>
      </c>
      <c r="T53">
        <f>HYPERLINK("https://klasma.github.io/Logging_ATVIDABERG/kartor/A 72592-2021.png")</f>
        <v/>
      </c>
      <c r="V53">
        <f>HYPERLINK("https://klasma.github.io/Logging_ATVIDABERG/klagomål/A 72592-2021.docx")</f>
        <v/>
      </c>
      <c r="W53">
        <f>HYPERLINK("https://klasma.github.io/Logging_ATVIDABERG/klagomålsmail/A 72592-2021.docx")</f>
        <v/>
      </c>
      <c r="X53">
        <f>HYPERLINK("https://klasma.github.io/Logging_ATVIDABERG/tillsyn/A 72592-2021.docx")</f>
        <v/>
      </c>
      <c r="Y53">
        <f>HYPERLINK("https://klasma.github.io/Logging_ATVIDABERG/tillsynsmail/A 72592-2021.docx")</f>
        <v/>
      </c>
    </row>
    <row r="54" ht="15" customHeight="1">
      <c r="A54" t="inlineStr">
        <is>
          <t>A 74267-2021</t>
        </is>
      </c>
      <c r="B54" s="1" t="n">
        <v>44558</v>
      </c>
      <c r="C54" s="1" t="n">
        <v>45172</v>
      </c>
      <c r="D54" t="inlineStr">
        <is>
          <t>ÖSTERGÖTLANDS LÄN</t>
        </is>
      </c>
      <c r="E54" t="inlineStr">
        <is>
          <t>NORRKÖPING</t>
        </is>
      </c>
      <c r="G54" t="n">
        <v>3.1</v>
      </c>
      <c r="H54" t="n">
        <v>1</v>
      </c>
      <c r="I54" t="n">
        <v>3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5</v>
      </c>
      <c r="R54" s="2" t="inlineStr">
        <is>
          <t>Ullticka
Blodticka
Bronshjon
Mindre märgborre
Blåsippa</t>
        </is>
      </c>
      <c r="S54">
        <f>HYPERLINK("https://klasma.github.io/Logging_NORRKOPING/artfynd/A 74267-2021.xlsx")</f>
        <v/>
      </c>
      <c r="T54">
        <f>HYPERLINK("https://klasma.github.io/Logging_NORRKOPING/kartor/A 74267-2021.png")</f>
        <v/>
      </c>
      <c r="V54">
        <f>HYPERLINK("https://klasma.github.io/Logging_NORRKOPING/klagomål/A 74267-2021.docx")</f>
        <v/>
      </c>
      <c r="W54">
        <f>HYPERLINK("https://klasma.github.io/Logging_NORRKOPING/klagomålsmail/A 74267-2021.docx")</f>
        <v/>
      </c>
      <c r="X54">
        <f>HYPERLINK("https://klasma.github.io/Logging_NORRKOPING/tillsyn/A 74267-2021.docx")</f>
        <v/>
      </c>
      <c r="Y54">
        <f>HYPERLINK("https://klasma.github.io/Logging_NORRKOPING/tillsynsmail/A 74267-2021.docx")</f>
        <v/>
      </c>
    </row>
    <row r="55" ht="15" customHeight="1">
      <c r="A55" t="inlineStr">
        <is>
          <t>A 8237-2023</t>
        </is>
      </c>
      <c r="B55" s="1" t="n">
        <v>44974</v>
      </c>
      <c r="C55" s="1" t="n">
        <v>45172</v>
      </c>
      <c r="D55" t="inlineStr">
        <is>
          <t>ÖSTERGÖTLANDS LÄN</t>
        </is>
      </c>
      <c r="E55" t="inlineStr">
        <is>
          <t>KINDA</t>
        </is>
      </c>
      <c r="G55" t="n">
        <v>6.1</v>
      </c>
      <c r="H55" t="n">
        <v>3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Smalsprötad bastardsvärmare
Grönpyrola
Kopparödla
Blåsippa
Gullviva</t>
        </is>
      </c>
      <c r="S55">
        <f>HYPERLINK("https://klasma.github.io/Logging_KINDA/artfynd/A 8237-2023.xlsx")</f>
        <v/>
      </c>
      <c r="T55">
        <f>HYPERLINK("https://klasma.github.io/Logging_KINDA/kartor/A 8237-2023.png")</f>
        <v/>
      </c>
      <c r="V55">
        <f>HYPERLINK("https://klasma.github.io/Logging_KINDA/klagomål/A 8237-2023.docx")</f>
        <v/>
      </c>
      <c r="W55">
        <f>HYPERLINK("https://klasma.github.io/Logging_KINDA/klagomålsmail/A 8237-2023.docx")</f>
        <v/>
      </c>
      <c r="X55">
        <f>HYPERLINK("https://klasma.github.io/Logging_KINDA/tillsyn/A 8237-2023.docx")</f>
        <v/>
      </c>
      <c r="Y55">
        <f>HYPERLINK("https://klasma.github.io/Logging_KINDA/tillsynsmail/A 8237-2023.docx")</f>
        <v/>
      </c>
    </row>
    <row r="56" ht="15" customHeight="1">
      <c r="A56" t="inlineStr">
        <is>
          <t>A 14507-2023</t>
        </is>
      </c>
      <c r="B56" s="1" t="n">
        <v>45012</v>
      </c>
      <c r="C56" s="1" t="n">
        <v>45172</v>
      </c>
      <c r="D56" t="inlineStr">
        <is>
          <t>ÖSTERGÖTLANDS LÄN</t>
        </is>
      </c>
      <c r="E56" t="inlineStr">
        <is>
          <t>NORRKÖPING</t>
        </is>
      </c>
      <c r="G56" t="n">
        <v>2.7</v>
      </c>
      <c r="H56" t="n">
        <v>1</v>
      </c>
      <c r="I56" t="n">
        <v>3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5</v>
      </c>
      <c r="R56" s="2" t="inlineStr">
        <is>
          <t>Knärot
Ullticka
Blåmossa
Bronshjon
Grönpyrola</t>
        </is>
      </c>
      <c r="S56">
        <f>HYPERLINK("https://klasma.github.io/Logging_NORRKOPING/artfynd/A 14507-2023.xlsx")</f>
        <v/>
      </c>
      <c r="T56">
        <f>HYPERLINK("https://klasma.github.io/Logging_NORRKOPING/kartor/A 14507-2023.png")</f>
        <v/>
      </c>
      <c r="U56">
        <f>HYPERLINK("https://klasma.github.io/Logging_NORRKOPING/knärot/A 14507-2023.png")</f>
        <v/>
      </c>
      <c r="V56">
        <f>HYPERLINK("https://klasma.github.io/Logging_NORRKOPING/klagomål/A 14507-2023.docx")</f>
        <v/>
      </c>
      <c r="W56">
        <f>HYPERLINK("https://klasma.github.io/Logging_NORRKOPING/klagomålsmail/A 14507-2023.docx")</f>
        <v/>
      </c>
      <c r="X56">
        <f>HYPERLINK("https://klasma.github.io/Logging_NORRKOPING/tillsyn/A 14507-2023.docx")</f>
        <v/>
      </c>
      <c r="Y56">
        <f>HYPERLINK("https://klasma.github.io/Logging_NORRKOPING/tillsynsmail/A 14507-2023.docx")</f>
        <v/>
      </c>
    </row>
    <row r="57" ht="15" customHeight="1">
      <c r="A57" t="inlineStr">
        <is>
          <t>A 35125-2018</t>
        </is>
      </c>
      <c r="B57" s="1" t="n">
        <v>43322</v>
      </c>
      <c r="C57" s="1" t="n">
        <v>45172</v>
      </c>
      <c r="D57" t="inlineStr">
        <is>
          <t>ÖSTERGÖTLANDS LÄN</t>
        </is>
      </c>
      <c r="E57" t="inlineStr">
        <is>
          <t>FINSPÅNG</t>
        </is>
      </c>
      <c r="F57" t="inlineStr">
        <is>
          <t>Övriga Aktiebolag</t>
        </is>
      </c>
      <c r="G57" t="n">
        <v>6</v>
      </c>
      <c r="H57" t="n">
        <v>0</v>
      </c>
      <c r="I57" t="n">
        <v>1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4</v>
      </c>
      <c r="R57" s="2" t="inlineStr">
        <is>
          <t>Tallticka
Triplax rufipes
Ullticka
Brandticka</t>
        </is>
      </c>
      <c r="S57">
        <f>HYPERLINK("https://klasma.github.io/Logging_FINSPANG/artfynd/A 35125-2018.xlsx")</f>
        <v/>
      </c>
      <c r="T57">
        <f>HYPERLINK("https://klasma.github.io/Logging_FINSPANG/kartor/A 35125-2018.png")</f>
        <v/>
      </c>
      <c r="V57">
        <f>HYPERLINK("https://klasma.github.io/Logging_FINSPANG/klagomål/A 35125-2018.docx")</f>
        <v/>
      </c>
      <c r="W57">
        <f>HYPERLINK("https://klasma.github.io/Logging_FINSPANG/klagomålsmail/A 35125-2018.docx")</f>
        <v/>
      </c>
      <c r="X57">
        <f>HYPERLINK("https://klasma.github.io/Logging_FINSPANG/tillsyn/A 35125-2018.docx")</f>
        <v/>
      </c>
      <c r="Y57">
        <f>HYPERLINK("https://klasma.github.io/Logging_FINSPANG/tillsynsmail/A 35125-2018.docx")</f>
        <v/>
      </c>
    </row>
    <row r="58" ht="15" customHeight="1">
      <c r="A58" t="inlineStr">
        <is>
          <t>A 34818-2019</t>
        </is>
      </c>
      <c r="B58" s="1" t="n">
        <v>43649</v>
      </c>
      <c r="C58" s="1" t="n">
        <v>45172</v>
      </c>
      <c r="D58" t="inlineStr">
        <is>
          <t>ÖSTERGÖTLANDS LÄN</t>
        </is>
      </c>
      <c r="E58" t="inlineStr">
        <is>
          <t>LINKÖPING</t>
        </is>
      </c>
      <c r="G58" t="n">
        <v>3.6</v>
      </c>
      <c r="H58" t="n">
        <v>0</v>
      </c>
      <c r="I58" t="n">
        <v>1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4</v>
      </c>
      <c r="R58" s="2" t="inlineStr">
        <is>
          <t>Strandviol
Kasgräs
Tallticka
Blåmossa</t>
        </is>
      </c>
      <c r="S58">
        <f>HYPERLINK("https://klasma.github.io/Logging_LINKOPING/artfynd/A 34818-2019.xlsx")</f>
        <v/>
      </c>
      <c r="T58">
        <f>HYPERLINK("https://klasma.github.io/Logging_LINKOPING/kartor/A 34818-2019.png")</f>
        <v/>
      </c>
      <c r="V58">
        <f>HYPERLINK("https://klasma.github.io/Logging_LINKOPING/klagomål/A 34818-2019.docx")</f>
        <v/>
      </c>
      <c r="W58">
        <f>HYPERLINK("https://klasma.github.io/Logging_LINKOPING/klagomålsmail/A 34818-2019.docx")</f>
        <v/>
      </c>
      <c r="X58">
        <f>HYPERLINK("https://klasma.github.io/Logging_LINKOPING/tillsyn/A 34818-2019.docx")</f>
        <v/>
      </c>
      <c r="Y58">
        <f>HYPERLINK("https://klasma.github.io/Logging_LINKOPING/tillsynsmail/A 34818-2019.docx")</f>
        <v/>
      </c>
    </row>
    <row r="59" ht="15" customHeight="1">
      <c r="A59" t="inlineStr">
        <is>
          <t>A 61056-2019</t>
        </is>
      </c>
      <c r="B59" s="1" t="n">
        <v>43782</v>
      </c>
      <c r="C59" s="1" t="n">
        <v>45172</v>
      </c>
      <c r="D59" t="inlineStr">
        <is>
          <t>ÖSTERGÖTLANDS LÄN</t>
        </is>
      </c>
      <c r="E59" t="inlineStr">
        <is>
          <t>MJÖLBY</t>
        </is>
      </c>
      <c r="F59" t="inlineStr">
        <is>
          <t>Kommuner</t>
        </is>
      </c>
      <c r="G59" t="n">
        <v>1.9</v>
      </c>
      <c r="H59" t="n">
        <v>1</v>
      </c>
      <c r="I59" t="n">
        <v>3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4</v>
      </c>
      <c r="R59" s="2" t="inlineStr">
        <is>
          <t>Knärot
Fjällig taggsvamp s.str.
Gulnål
Rödbrun jordstjärna</t>
        </is>
      </c>
      <c r="S59">
        <f>HYPERLINK("https://klasma.github.io/Logging_MJOLBY/artfynd/A 61056-2019.xlsx")</f>
        <v/>
      </c>
      <c r="T59">
        <f>HYPERLINK("https://klasma.github.io/Logging_MJOLBY/kartor/A 61056-2019.png")</f>
        <v/>
      </c>
      <c r="U59">
        <f>HYPERLINK("https://klasma.github.io/Logging_MJOLBY/knärot/A 61056-2019.png")</f>
        <v/>
      </c>
      <c r="V59">
        <f>HYPERLINK("https://klasma.github.io/Logging_MJOLBY/klagomål/A 61056-2019.docx")</f>
        <v/>
      </c>
      <c r="W59">
        <f>HYPERLINK("https://klasma.github.io/Logging_MJOLBY/klagomålsmail/A 61056-2019.docx")</f>
        <v/>
      </c>
      <c r="X59">
        <f>HYPERLINK("https://klasma.github.io/Logging_MJOLBY/tillsyn/A 61056-2019.docx")</f>
        <v/>
      </c>
      <c r="Y59">
        <f>HYPERLINK("https://klasma.github.io/Logging_MJOLBY/tillsynsmail/A 61056-2019.docx")</f>
        <v/>
      </c>
    </row>
    <row r="60" ht="15" customHeight="1">
      <c r="A60" t="inlineStr">
        <is>
          <t>A 63334-2019</t>
        </is>
      </c>
      <c r="B60" s="1" t="n">
        <v>43794</v>
      </c>
      <c r="C60" s="1" t="n">
        <v>45172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1.8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1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Skogsalm
Svart trolldruva
Grönvit nattviol
Blåsippa</t>
        </is>
      </c>
      <c r="S60">
        <f>HYPERLINK("https://klasma.github.io/Logging_BOXHOLM/artfynd/A 63334-2019.xlsx")</f>
        <v/>
      </c>
      <c r="T60">
        <f>HYPERLINK("https://klasma.github.io/Logging_BOXHOLM/kartor/A 63334-2019.png")</f>
        <v/>
      </c>
      <c r="V60">
        <f>HYPERLINK("https://klasma.github.io/Logging_BOXHOLM/klagomål/A 63334-2019.docx")</f>
        <v/>
      </c>
      <c r="W60">
        <f>HYPERLINK("https://klasma.github.io/Logging_BOXHOLM/klagomålsmail/A 63334-2019.docx")</f>
        <v/>
      </c>
      <c r="X60">
        <f>HYPERLINK("https://klasma.github.io/Logging_BOXHOLM/tillsyn/A 63334-2019.docx")</f>
        <v/>
      </c>
      <c r="Y60">
        <f>HYPERLINK("https://klasma.github.io/Logging_BOXHOLM/tillsynsmail/A 63334-2019.docx")</f>
        <v/>
      </c>
    </row>
    <row r="61" ht="15" customHeight="1">
      <c r="A61" t="inlineStr">
        <is>
          <t>A 3286-2020</t>
        </is>
      </c>
      <c r="B61" s="1" t="n">
        <v>43852</v>
      </c>
      <c r="C61" s="1" t="n">
        <v>45172</v>
      </c>
      <c r="D61" t="inlineStr">
        <is>
          <t>ÖSTERGÖTLANDS LÄN</t>
        </is>
      </c>
      <c r="E61" t="inlineStr">
        <is>
          <t>LINKÖPING</t>
        </is>
      </c>
      <c r="G61" t="n">
        <v>7.1</v>
      </c>
      <c r="H61" t="n">
        <v>1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4</v>
      </c>
      <c r="R61" s="2" t="inlineStr">
        <is>
          <t>Blekticka
Gul dropplav
Blanksvart trämyra
Ekoxe</t>
        </is>
      </c>
      <c r="S61">
        <f>HYPERLINK("https://klasma.github.io/Logging_LINKOPING/artfynd/A 3286-2020.xlsx")</f>
        <v/>
      </c>
      <c r="T61">
        <f>HYPERLINK("https://klasma.github.io/Logging_LINKOPING/kartor/A 3286-2020.png")</f>
        <v/>
      </c>
      <c r="V61">
        <f>HYPERLINK("https://klasma.github.io/Logging_LINKOPING/klagomål/A 3286-2020.docx")</f>
        <v/>
      </c>
      <c r="W61">
        <f>HYPERLINK("https://klasma.github.io/Logging_LINKOPING/klagomålsmail/A 3286-2020.docx")</f>
        <v/>
      </c>
      <c r="X61">
        <f>HYPERLINK("https://klasma.github.io/Logging_LINKOPING/tillsyn/A 3286-2020.docx")</f>
        <v/>
      </c>
      <c r="Y61">
        <f>HYPERLINK("https://klasma.github.io/Logging_LINKOPING/tillsynsmail/A 3286-2020.docx")</f>
        <v/>
      </c>
    </row>
    <row r="62" ht="15" customHeight="1">
      <c r="A62" t="inlineStr">
        <is>
          <t>A 8661-2020</t>
        </is>
      </c>
      <c r="B62" s="1" t="n">
        <v>43878</v>
      </c>
      <c r="C62" s="1" t="n">
        <v>45172</v>
      </c>
      <c r="D62" t="inlineStr">
        <is>
          <t>ÖSTERGÖTLANDS LÄN</t>
        </is>
      </c>
      <c r="E62" t="inlineStr">
        <is>
          <t>LINKÖPING</t>
        </is>
      </c>
      <c r="G62" t="n">
        <v>22.5</v>
      </c>
      <c r="H62" t="n">
        <v>2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Svinrot
Ängsskära
Blåsippa
Gullviva</t>
        </is>
      </c>
      <c r="S62">
        <f>HYPERLINK("https://klasma.github.io/Logging_LINKOPING/artfynd/A 8661-2020.xlsx")</f>
        <v/>
      </c>
      <c r="T62">
        <f>HYPERLINK("https://klasma.github.io/Logging_LINKOPING/kartor/A 8661-2020.png")</f>
        <v/>
      </c>
      <c r="V62">
        <f>HYPERLINK("https://klasma.github.io/Logging_LINKOPING/klagomål/A 8661-2020.docx")</f>
        <v/>
      </c>
      <c r="W62">
        <f>HYPERLINK("https://klasma.github.io/Logging_LINKOPING/klagomålsmail/A 8661-2020.docx")</f>
        <v/>
      </c>
      <c r="X62">
        <f>HYPERLINK("https://klasma.github.io/Logging_LINKOPING/tillsyn/A 8661-2020.docx")</f>
        <v/>
      </c>
      <c r="Y62">
        <f>HYPERLINK("https://klasma.github.io/Logging_LINKOPING/tillsynsmail/A 8661-2020.docx")</f>
        <v/>
      </c>
    </row>
    <row r="63" ht="15" customHeight="1">
      <c r="A63" t="inlineStr">
        <is>
          <t>A 19094-2020</t>
        </is>
      </c>
      <c r="B63" s="1" t="n">
        <v>43936</v>
      </c>
      <c r="C63" s="1" t="n">
        <v>45172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1.3</v>
      </c>
      <c r="H63" t="n">
        <v>0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Gropticka
Torvbägarlav
Flagellkvastmossa
Skuggmossa</t>
        </is>
      </c>
      <c r="S63">
        <f>HYPERLINK("https://klasma.github.io/Logging_MOTALA/artfynd/A 19094-2020.xlsx")</f>
        <v/>
      </c>
      <c r="T63">
        <f>HYPERLINK("https://klasma.github.io/Logging_MOTALA/kartor/A 19094-2020.png")</f>
        <v/>
      </c>
      <c r="V63">
        <f>HYPERLINK("https://klasma.github.io/Logging_MOTALA/klagomål/A 19094-2020.docx")</f>
        <v/>
      </c>
      <c r="W63">
        <f>HYPERLINK("https://klasma.github.io/Logging_MOTALA/klagomålsmail/A 19094-2020.docx")</f>
        <v/>
      </c>
      <c r="X63">
        <f>HYPERLINK("https://klasma.github.io/Logging_MOTALA/tillsyn/A 19094-2020.docx")</f>
        <v/>
      </c>
      <c r="Y63">
        <f>HYPERLINK("https://klasma.github.io/Logging_MOTALA/tillsynsmail/A 19094-2020.docx")</f>
        <v/>
      </c>
    </row>
    <row r="64" ht="15" customHeight="1">
      <c r="A64" t="inlineStr">
        <is>
          <t>A 21081-2020</t>
        </is>
      </c>
      <c r="B64" s="1" t="n">
        <v>43949</v>
      </c>
      <c r="C64" s="1" t="n">
        <v>45172</v>
      </c>
      <c r="D64" t="inlineStr">
        <is>
          <t>ÖSTERGÖTLANDS LÄN</t>
        </is>
      </c>
      <c r="E64" t="inlineStr">
        <is>
          <t>NORRKÖPING</t>
        </is>
      </c>
      <c r="G64" t="n">
        <v>8.4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Ullticka
Vedskivlav
Mindre märgborre
Vedticka</t>
        </is>
      </c>
      <c r="S64">
        <f>HYPERLINK("https://klasma.github.io/Logging_NORRKOPING/artfynd/A 21081-2020.xlsx")</f>
        <v/>
      </c>
      <c r="T64">
        <f>HYPERLINK("https://klasma.github.io/Logging_NORRKOPING/kartor/A 21081-2020.png")</f>
        <v/>
      </c>
      <c r="V64">
        <f>HYPERLINK("https://klasma.github.io/Logging_NORRKOPING/klagomål/A 21081-2020.docx")</f>
        <v/>
      </c>
      <c r="W64">
        <f>HYPERLINK("https://klasma.github.io/Logging_NORRKOPING/klagomålsmail/A 21081-2020.docx")</f>
        <v/>
      </c>
      <c r="X64">
        <f>HYPERLINK("https://klasma.github.io/Logging_NORRKOPING/tillsyn/A 21081-2020.docx")</f>
        <v/>
      </c>
      <c r="Y64">
        <f>HYPERLINK("https://klasma.github.io/Logging_NORRKOPING/tillsynsmail/A 21081-2020.docx")</f>
        <v/>
      </c>
    </row>
    <row r="65" ht="15" customHeight="1">
      <c r="A65" t="inlineStr">
        <is>
          <t>A 30913-2020</t>
        </is>
      </c>
      <c r="B65" s="1" t="n">
        <v>44011</v>
      </c>
      <c r="C65" s="1" t="n">
        <v>45172</v>
      </c>
      <c r="D65" t="inlineStr">
        <is>
          <t>ÖSTERGÖTLANDS LÄN</t>
        </is>
      </c>
      <c r="E65" t="inlineStr">
        <is>
          <t>FINSPÅNG</t>
        </is>
      </c>
      <c r="G65" t="n">
        <v>2.9</v>
      </c>
      <c r="H65" t="n">
        <v>1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4</v>
      </c>
      <c r="R65" s="2" t="inlineStr">
        <is>
          <t>Svinrot
Blåmossa
Grönpyrola
Blåsippa</t>
        </is>
      </c>
      <c r="S65">
        <f>HYPERLINK("https://klasma.github.io/Logging_FINSPANG/artfynd/A 30913-2020.xlsx")</f>
        <v/>
      </c>
      <c r="T65">
        <f>HYPERLINK("https://klasma.github.io/Logging_FINSPANG/kartor/A 30913-2020.png")</f>
        <v/>
      </c>
      <c r="V65">
        <f>HYPERLINK("https://klasma.github.io/Logging_FINSPANG/klagomål/A 30913-2020.docx")</f>
        <v/>
      </c>
      <c r="W65">
        <f>HYPERLINK("https://klasma.github.io/Logging_FINSPANG/klagomålsmail/A 30913-2020.docx")</f>
        <v/>
      </c>
      <c r="X65">
        <f>HYPERLINK("https://klasma.github.io/Logging_FINSPANG/tillsyn/A 30913-2020.docx")</f>
        <v/>
      </c>
      <c r="Y65">
        <f>HYPERLINK("https://klasma.github.io/Logging_FINSPANG/tillsynsmail/A 30913-2020.docx")</f>
        <v/>
      </c>
    </row>
    <row r="66" ht="15" customHeight="1">
      <c r="A66" t="inlineStr">
        <is>
          <t>A 40049-2020</t>
        </is>
      </c>
      <c r="B66" s="1" t="n">
        <v>44067</v>
      </c>
      <c r="C66" s="1" t="n">
        <v>45172</v>
      </c>
      <c r="D66" t="inlineStr">
        <is>
          <t>ÖSTERGÖTLANDS LÄN</t>
        </is>
      </c>
      <c r="E66" t="inlineStr">
        <is>
          <t>NORRKÖPING</t>
        </is>
      </c>
      <c r="G66" t="n">
        <v>10.5</v>
      </c>
      <c r="H66" t="n">
        <v>0</v>
      </c>
      <c r="I66" t="n">
        <v>3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Tallticka
Blomkålssvamp
Blåmossa
Grovticka</t>
        </is>
      </c>
      <c r="S66">
        <f>HYPERLINK("https://klasma.github.io/Logging_NORRKOPING/artfynd/A 40049-2020.xlsx")</f>
        <v/>
      </c>
      <c r="T66">
        <f>HYPERLINK("https://klasma.github.io/Logging_NORRKOPING/kartor/A 40049-2020.png")</f>
        <v/>
      </c>
      <c r="V66">
        <f>HYPERLINK("https://klasma.github.io/Logging_NORRKOPING/klagomål/A 40049-2020.docx")</f>
        <v/>
      </c>
      <c r="W66">
        <f>HYPERLINK("https://klasma.github.io/Logging_NORRKOPING/klagomålsmail/A 40049-2020.docx")</f>
        <v/>
      </c>
      <c r="X66">
        <f>HYPERLINK("https://klasma.github.io/Logging_NORRKOPING/tillsyn/A 40049-2020.docx")</f>
        <v/>
      </c>
      <c r="Y66">
        <f>HYPERLINK("https://klasma.github.io/Logging_NORRKOPING/tillsynsmail/A 40049-2020.docx")</f>
        <v/>
      </c>
    </row>
    <row r="67" ht="15" customHeight="1">
      <c r="A67" t="inlineStr">
        <is>
          <t>A 9383-2021</t>
        </is>
      </c>
      <c r="B67" s="1" t="n">
        <v>44250</v>
      </c>
      <c r="C67" s="1" t="n">
        <v>45172</v>
      </c>
      <c r="D67" t="inlineStr">
        <is>
          <t>ÖSTERGÖTLANDS LÄN</t>
        </is>
      </c>
      <c r="E67" t="inlineStr">
        <is>
          <t>ÅTVIDABERG</t>
        </is>
      </c>
      <c r="F67" t="inlineStr">
        <is>
          <t>Sveaskog</t>
        </is>
      </c>
      <c r="G67" t="n">
        <v>2.4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Vedtrappmossa
Fällmossa
Platt fjädermossa
Tibast</t>
        </is>
      </c>
      <c r="S67">
        <f>HYPERLINK("https://klasma.github.io/Logging_ATVIDABERG/artfynd/A 9383-2021.xlsx")</f>
        <v/>
      </c>
      <c r="T67">
        <f>HYPERLINK("https://klasma.github.io/Logging_ATVIDABERG/kartor/A 9383-2021.png")</f>
        <v/>
      </c>
      <c r="U67">
        <f>HYPERLINK("https://klasma.github.io/Logging_ATVIDABERG/knärot/A 9383-2021.png")</f>
        <v/>
      </c>
      <c r="V67">
        <f>HYPERLINK("https://klasma.github.io/Logging_ATVIDABERG/klagomål/A 9383-2021.docx")</f>
        <v/>
      </c>
      <c r="W67">
        <f>HYPERLINK("https://klasma.github.io/Logging_ATVIDABERG/klagomålsmail/A 9383-2021.docx")</f>
        <v/>
      </c>
      <c r="X67">
        <f>HYPERLINK("https://klasma.github.io/Logging_ATVIDABERG/tillsyn/A 9383-2021.docx")</f>
        <v/>
      </c>
      <c r="Y67">
        <f>HYPERLINK("https://klasma.github.io/Logging_ATVIDABERG/tillsynsmail/A 9383-2021.docx")</f>
        <v/>
      </c>
    </row>
    <row r="68" ht="15" customHeight="1">
      <c r="A68" t="inlineStr">
        <is>
          <t>A 40970-2021</t>
        </is>
      </c>
      <c r="B68" s="1" t="n">
        <v>44421</v>
      </c>
      <c r="C68" s="1" t="n">
        <v>45172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Kommuner</t>
        </is>
      </c>
      <c r="G68" t="n">
        <v>2.2</v>
      </c>
      <c r="H68" t="n">
        <v>2</v>
      </c>
      <c r="I68" t="n">
        <v>2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Bombmurkla
Fjällig taggsvamp s.str.
Kryddspindling
Blåsippa</t>
        </is>
      </c>
      <c r="S68">
        <f>HYPERLINK("https://klasma.github.io/Logging_LINKOPING/artfynd/A 40970-2021.xlsx")</f>
        <v/>
      </c>
      <c r="T68">
        <f>HYPERLINK("https://klasma.github.io/Logging_LINKOPING/kartor/A 40970-2021.png")</f>
        <v/>
      </c>
      <c r="U68">
        <f>HYPERLINK("https://klasma.github.io/Logging_LINKOPING/knärot/A 40970-2021.png")</f>
        <v/>
      </c>
      <c r="V68">
        <f>HYPERLINK("https://klasma.github.io/Logging_LINKOPING/klagomål/A 40970-2021.docx")</f>
        <v/>
      </c>
      <c r="W68">
        <f>HYPERLINK("https://klasma.github.io/Logging_LINKOPING/klagomålsmail/A 40970-2021.docx")</f>
        <v/>
      </c>
      <c r="X68">
        <f>HYPERLINK("https://klasma.github.io/Logging_LINKOPING/tillsyn/A 40970-2021.docx")</f>
        <v/>
      </c>
      <c r="Y68">
        <f>HYPERLINK("https://klasma.github.io/Logging_LINKOPING/tillsynsmail/A 40970-2021.docx")</f>
        <v/>
      </c>
    </row>
    <row r="69" ht="15" customHeight="1">
      <c r="A69" t="inlineStr">
        <is>
          <t>A 56271-2021</t>
        </is>
      </c>
      <c r="B69" s="1" t="n">
        <v>44479</v>
      </c>
      <c r="C69" s="1" t="n">
        <v>45172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Övriga Aktiebolag</t>
        </is>
      </c>
      <c r="G69" t="n">
        <v>1.8</v>
      </c>
      <c r="H69" t="n">
        <v>2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Dårgräsfjäril
Ekticka
Fällmossa
Blåsippa</t>
        </is>
      </c>
      <c r="S69">
        <f>HYPERLINK("https://klasma.github.io/Logging_LINKOPING/artfynd/A 56271-2021.xlsx")</f>
        <v/>
      </c>
      <c r="T69">
        <f>HYPERLINK("https://klasma.github.io/Logging_LINKOPING/kartor/A 56271-2021.png")</f>
        <v/>
      </c>
      <c r="V69">
        <f>HYPERLINK("https://klasma.github.io/Logging_LINKOPING/klagomål/A 56271-2021.docx")</f>
        <v/>
      </c>
      <c r="W69">
        <f>HYPERLINK("https://klasma.github.io/Logging_LINKOPING/klagomålsmail/A 56271-2021.docx")</f>
        <v/>
      </c>
      <c r="X69">
        <f>HYPERLINK("https://klasma.github.io/Logging_LINKOPING/tillsyn/A 56271-2021.docx")</f>
        <v/>
      </c>
      <c r="Y69">
        <f>HYPERLINK("https://klasma.github.io/Logging_LINKOPING/tillsynsmail/A 56271-2021.docx")</f>
        <v/>
      </c>
    </row>
    <row r="70" ht="15" customHeight="1">
      <c r="A70" t="inlineStr">
        <is>
          <t>A 65599-2021</t>
        </is>
      </c>
      <c r="B70" s="1" t="n">
        <v>44516</v>
      </c>
      <c r="C70" s="1" t="n">
        <v>45172</v>
      </c>
      <c r="D70" t="inlineStr">
        <is>
          <t>ÖSTERGÖTLANDS LÄN</t>
        </is>
      </c>
      <c r="E70" t="inlineStr">
        <is>
          <t>ÅTVIDABERG</t>
        </is>
      </c>
      <c r="F70" t="inlineStr">
        <is>
          <t>Sveaskog</t>
        </is>
      </c>
      <c r="G70" t="n">
        <v>4.6</v>
      </c>
      <c r="H70" t="n">
        <v>0</v>
      </c>
      <c r="I70" t="n">
        <v>0</v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t="n">
        <v>4</v>
      </c>
      <c r="P70" t="n">
        <v>0</v>
      </c>
      <c r="Q70" t="n">
        <v>4</v>
      </c>
      <c r="R70" s="2" t="inlineStr">
        <is>
          <t>Blekticka
Ekticka
Korskovall
Oxtungssvamp</t>
        </is>
      </c>
      <c r="S70">
        <f>HYPERLINK("https://klasma.github.io/Logging_ATVIDABERG/artfynd/A 65599-2021.xlsx")</f>
        <v/>
      </c>
      <c r="T70">
        <f>HYPERLINK("https://klasma.github.io/Logging_ATVIDABERG/kartor/A 65599-2021.png")</f>
        <v/>
      </c>
      <c r="V70">
        <f>HYPERLINK("https://klasma.github.io/Logging_ATVIDABERG/klagomål/A 65599-2021.docx")</f>
        <v/>
      </c>
      <c r="W70">
        <f>HYPERLINK("https://klasma.github.io/Logging_ATVIDABERG/klagomålsmail/A 65599-2021.docx")</f>
        <v/>
      </c>
      <c r="X70">
        <f>HYPERLINK("https://klasma.github.io/Logging_ATVIDABERG/tillsyn/A 65599-2021.docx")</f>
        <v/>
      </c>
      <c r="Y70">
        <f>HYPERLINK("https://klasma.github.io/Logging_ATVIDABERG/tillsynsmail/A 65599-2021.docx")</f>
        <v/>
      </c>
    </row>
    <row r="71" ht="15" customHeight="1">
      <c r="A71" t="inlineStr">
        <is>
          <t>A 2165-2022</t>
        </is>
      </c>
      <c r="B71" s="1" t="n">
        <v>44578</v>
      </c>
      <c r="C71" s="1" t="n">
        <v>45172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BillerudKorsnäs AB</t>
        </is>
      </c>
      <c r="G71" t="n">
        <v>2.1</v>
      </c>
      <c r="H71" t="n">
        <v>2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Röd skogslilja
Granbarkgnagare
Stubbspretmossa
Blåsippa</t>
        </is>
      </c>
      <c r="S71">
        <f>HYPERLINK("https://klasma.github.io/Logging_NORRKOPING/artfynd/A 2165-2022.xlsx")</f>
        <v/>
      </c>
      <c r="T71">
        <f>HYPERLINK("https://klasma.github.io/Logging_NORRKOPING/kartor/A 2165-2022.png")</f>
        <v/>
      </c>
      <c r="V71">
        <f>HYPERLINK("https://klasma.github.io/Logging_NORRKOPING/klagomål/A 2165-2022.docx")</f>
        <v/>
      </c>
      <c r="W71">
        <f>HYPERLINK("https://klasma.github.io/Logging_NORRKOPING/klagomålsmail/A 2165-2022.docx")</f>
        <v/>
      </c>
      <c r="X71">
        <f>HYPERLINK("https://klasma.github.io/Logging_NORRKOPING/tillsyn/A 2165-2022.docx")</f>
        <v/>
      </c>
      <c r="Y71">
        <f>HYPERLINK("https://klasma.github.io/Logging_NORRKOPING/tillsynsmail/A 2165-2022.docx")</f>
        <v/>
      </c>
    </row>
    <row r="72" ht="15" customHeight="1">
      <c r="A72" t="inlineStr">
        <is>
          <t>A 32058-2022</t>
        </is>
      </c>
      <c r="B72" s="1" t="n">
        <v>44778</v>
      </c>
      <c r="C72" s="1" t="n">
        <v>45172</v>
      </c>
      <c r="D72" t="inlineStr">
        <is>
          <t>ÖSTERGÖTLANDS LÄN</t>
        </is>
      </c>
      <c r="E72" t="inlineStr">
        <is>
          <t>ÅTVIDABERG</t>
        </is>
      </c>
      <c r="G72" t="n">
        <v>0.2</v>
      </c>
      <c r="H72" t="n">
        <v>2</v>
      </c>
      <c r="I72" t="n">
        <v>1</v>
      </c>
      <c r="J72" t="n">
        <v>2</v>
      </c>
      <c r="K72" t="n">
        <v>1</v>
      </c>
      <c r="L72" t="n">
        <v>0</v>
      </c>
      <c r="M72" t="n">
        <v>0</v>
      </c>
      <c r="N72" t="n">
        <v>0</v>
      </c>
      <c r="O72" t="n">
        <v>3</v>
      </c>
      <c r="P72" t="n">
        <v>1</v>
      </c>
      <c r="Q72" t="n">
        <v>4</v>
      </c>
      <c r="R72" s="2" t="inlineStr">
        <is>
          <t>Knärot
Talltita
Ullticka
Blomkålssvamp</t>
        </is>
      </c>
      <c r="S72">
        <f>HYPERLINK("https://klasma.github.io/Logging_ATVIDABERG/artfynd/A 32058-2022.xlsx")</f>
        <v/>
      </c>
      <c r="T72">
        <f>HYPERLINK("https://klasma.github.io/Logging_ATVIDABERG/kartor/A 32058-2022.png")</f>
        <v/>
      </c>
      <c r="U72">
        <f>HYPERLINK("https://klasma.github.io/Logging_ATVIDABERG/knärot/A 32058-2022.png")</f>
        <v/>
      </c>
      <c r="V72">
        <f>HYPERLINK("https://klasma.github.io/Logging_ATVIDABERG/klagomål/A 32058-2022.docx")</f>
        <v/>
      </c>
      <c r="W72">
        <f>HYPERLINK("https://klasma.github.io/Logging_ATVIDABERG/klagomålsmail/A 32058-2022.docx")</f>
        <v/>
      </c>
      <c r="X72">
        <f>HYPERLINK("https://klasma.github.io/Logging_ATVIDABERG/tillsyn/A 32058-2022.docx")</f>
        <v/>
      </c>
      <c r="Y72">
        <f>HYPERLINK("https://klasma.github.io/Logging_ATVIDABERG/tillsynsmail/A 32058-2022.docx")</f>
        <v/>
      </c>
    </row>
    <row r="73" ht="15" customHeight="1">
      <c r="A73" t="inlineStr">
        <is>
          <t>A 40422-2022</t>
        </is>
      </c>
      <c r="B73" s="1" t="n">
        <v>44823</v>
      </c>
      <c r="C73" s="1" t="n">
        <v>45172</v>
      </c>
      <c r="D73" t="inlineStr">
        <is>
          <t>ÖSTERGÖTLANDS LÄN</t>
        </is>
      </c>
      <c r="E73" t="inlineStr">
        <is>
          <t>ÅTVIDABERG</t>
        </is>
      </c>
      <c r="G73" t="n">
        <v>11.3</v>
      </c>
      <c r="H73" t="n">
        <v>2</v>
      </c>
      <c r="I73" t="n">
        <v>4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 sköldmossa
Korallrot
Stubbspretmossa
Tibast</t>
        </is>
      </c>
      <c r="S73">
        <f>HYPERLINK("https://klasma.github.io/Logging_ATVIDABERG/artfynd/A 40422-2022.xlsx")</f>
        <v/>
      </c>
      <c r="T73">
        <f>HYPERLINK("https://klasma.github.io/Logging_ATVIDABERG/kartor/A 40422-2022.png")</f>
        <v/>
      </c>
      <c r="V73">
        <f>HYPERLINK("https://klasma.github.io/Logging_ATVIDABERG/klagomål/A 40422-2022.docx")</f>
        <v/>
      </c>
      <c r="W73">
        <f>HYPERLINK("https://klasma.github.io/Logging_ATVIDABERG/klagomålsmail/A 40422-2022.docx")</f>
        <v/>
      </c>
      <c r="X73">
        <f>HYPERLINK("https://klasma.github.io/Logging_ATVIDABERG/tillsyn/A 40422-2022.docx")</f>
        <v/>
      </c>
      <c r="Y73">
        <f>HYPERLINK("https://klasma.github.io/Logging_ATVIDABERG/tillsynsmail/A 40422-2022.docx")</f>
        <v/>
      </c>
    </row>
    <row r="74" ht="15" customHeight="1">
      <c r="A74" t="inlineStr">
        <is>
          <t>A 6352-2023</t>
        </is>
      </c>
      <c r="B74" s="1" t="n">
        <v>44965</v>
      </c>
      <c r="C74" s="1" t="n">
        <v>45172</v>
      </c>
      <c r="D74" t="inlineStr">
        <is>
          <t>ÖSTERGÖTLANDS LÄN</t>
        </is>
      </c>
      <c r="E74" t="inlineStr">
        <is>
          <t>LINKÖPING</t>
        </is>
      </c>
      <c r="G74" t="n">
        <v>2.8</v>
      </c>
      <c r="H74" t="n">
        <v>3</v>
      </c>
      <c r="I74" t="n">
        <v>0</v>
      </c>
      <c r="J74" t="n">
        <v>2</v>
      </c>
      <c r="K74" t="n">
        <v>1</v>
      </c>
      <c r="L74" t="n">
        <v>1</v>
      </c>
      <c r="M74" t="n">
        <v>0</v>
      </c>
      <c r="N74" t="n">
        <v>0</v>
      </c>
      <c r="O74" t="n">
        <v>4</v>
      </c>
      <c r="P74" t="n">
        <v>2</v>
      </c>
      <c r="Q74" t="n">
        <v>4</v>
      </c>
      <c r="R74" s="2" t="inlineStr">
        <is>
          <t>Grönfink
Stare
Blekticka
Gulsparv</t>
        </is>
      </c>
      <c r="S74">
        <f>HYPERLINK("https://klasma.github.io/Logging_LINKOPING/artfynd/A 6352-2023.xlsx")</f>
        <v/>
      </c>
      <c r="T74">
        <f>HYPERLINK("https://klasma.github.io/Logging_LINKOPING/kartor/A 6352-2023.png")</f>
        <v/>
      </c>
      <c r="V74">
        <f>HYPERLINK("https://klasma.github.io/Logging_LINKOPING/klagomål/A 6352-2023.docx")</f>
        <v/>
      </c>
      <c r="W74">
        <f>HYPERLINK("https://klasma.github.io/Logging_LINKOPING/klagomålsmail/A 6352-2023.docx")</f>
        <v/>
      </c>
      <c r="X74">
        <f>HYPERLINK("https://klasma.github.io/Logging_LINKOPING/tillsyn/A 6352-2023.docx")</f>
        <v/>
      </c>
      <c r="Y74">
        <f>HYPERLINK("https://klasma.github.io/Logging_LINKOPING/tillsynsmail/A 6352-2023.docx")</f>
        <v/>
      </c>
    </row>
    <row r="75" ht="15" customHeight="1">
      <c r="A75" t="inlineStr">
        <is>
          <t>A 26284-2023</t>
        </is>
      </c>
      <c r="B75" s="1" t="n">
        <v>45091</v>
      </c>
      <c r="C75" s="1" t="n">
        <v>45172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6.6</v>
      </c>
      <c r="H75" t="n">
        <v>0</v>
      </c>
      <c r="I75" t="n">
        <v>2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4</v>
      </c>
      <c r="R75" s="2" t="inlineStr">
        <is>
          <t>Motaggsvamp
Vedskivlav
Blåmossa
Stor revmossa</t>
        </is>
      </c>
      <c r="S75">
        <f>HYPERLINK("https://klasma.github.io/Logging_FINSPANG/artfynd/A 26284-2023.xlsx")</f>
        <v/>
      </c>
      <c r="T75">
        <f>HYPERLINK("https://klasma.github.io/Logging_FINSPANG/kartor/A 26284-2023.png")</f>
        <v/>
      </c>
      <c r="V75">
        <f>HYPERLINK("https://klasma.github.io/Logging_FINSPANG/klagomål/A 26284-2023.docx")</f>
        <v/>
      </c>
      <c r="W75">
        <f>HYPERLINK("https://klasma.github.io/Logging_FINSPANG/klagomålsmail/A 26284-2023.docx")</f>
        <v/>
      </c>
      <c r="X75">
        <f>HYPERLINK("https://klasma.github.io/Logging_FINSPANG/tillsyn/A 26284-2023.docx")</f>
        <v/>
      </c>
      <c r="Y75">
        <f>HYPERLINK("https://klasma.github.io/Logging_FINSPANG/tillsynsmail/A 26284-2023.docx")</f>
        <v/>
      </c>
    </row>
    <row r="76" ht="15" customHeight="1">
      <c r="A76" t="inlineStr">
        <is>
          <t>A 34644-2023</t>
        </is>
      </c>
      <c r="B76" s="1" t="n">
        <v>45139</v>
      </c>
      <c r="C76" s="1" t="n">
        <v>45172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8.300000000000001</v>
      </c>
      <c r="H76" t="n">
        <v>0</v>
      </c>
      <c r="I76" t="n">
        <v>3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4</v>
      </c>
      <c r="R76" s="2" t="inlineStr">
        <is>
          <t>Vedskivlav
Blåmossa
Mindre märgborre
Västlig hakmossa</t>
        </is>
      </c>
      <c r="S76">
        <f>HYPERLINK("https://klasma.github.io/Logging_NORRKOPING/artfynd/A 34644-2023.xlsx")</f>
        <v/>
      </c>
      <c r="T76">
        <f>HYPERLINK("https://klasma.github.io/Logging_NORRKOPING/kartor/A 34644-2023.png")</f>
        <v/>
      </c>
      <c r="V76">
        <f>HYPERLINK("https://klasma.github.io/Logging_NORRKOPING/klagomål/A 34644-2023.docx")</f>
        <v/>
      </c>
      <c r="W76">
        <f>HYPERLINK("https://klasma.github.io/Logging_NORRKOPING/klagomålsmail/A 34644-2023.docx")</f>
        <v/>
      </c>
      <c r="X76">
        <f>HYPERLINK("https://klasma.github.io/Logging_NORRKOPING/tillsyn/A 34644-2023.docx")</f>
        <v/>
      </c>
      <c r="Y76">
        <f>HYPERLINK("https://klasma.github.io/Logging_NORRKOPING/tillsynsmail/A 34644-2023.docx")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45172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45172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45172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45172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45172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45172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45172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45172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45172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45172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45172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45172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45172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45172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45172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45172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45172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45172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45172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45172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45172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45172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45172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45172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45172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45172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45172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45172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45172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45172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45172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45172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45172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45172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45172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45172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45172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45172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45172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45172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45172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45172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45172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45172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45172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45172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45172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45172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45172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45172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45172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45172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45172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45172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45172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45172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45172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45172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45172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45172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45172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45172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45172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45172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45172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45172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45172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45172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45172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45172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45172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45172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45172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45172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45172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45172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45172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45172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45172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45172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45172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45172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45172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45172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45172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45172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45172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45172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45172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45172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45172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45172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45172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45172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45172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45172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45172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45172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45172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45172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45172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45172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45172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45172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45172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45172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45172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45172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45172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45172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45172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45172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45172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45172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45172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45172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45172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45172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45172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45172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45172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45172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45172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45172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45172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45172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45172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45172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45172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45172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45172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45172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45172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45172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45172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45172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45172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45172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45172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45172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45172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45172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45172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45172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45172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45172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45172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45172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45172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45172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45172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45172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45172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45172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45172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45172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45172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45172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45172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45172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45172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45172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45172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45172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45172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45172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45172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45172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45172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45172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45172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45172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45172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45172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45172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45172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45172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45172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45172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45172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45172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45172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45172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45172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45172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45172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45172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45172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45172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45172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45172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45172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45172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45172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45172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45172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45172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45172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45172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45172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45172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45172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45172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45172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45172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45172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45172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45172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45172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45172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45172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45172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45172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45172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45172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45172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45172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45172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45172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45172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45172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45172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45172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45172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45172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45172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45172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45172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45172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45172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45172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45172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45172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45172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45172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45172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45172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45172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45172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45172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45172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45172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45172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45172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45172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45172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45172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45172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45172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45172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45172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45172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45172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45172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45172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45172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45172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45172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45172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45172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45172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45172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45172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45172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45172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45172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45172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45172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45172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45172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45172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45172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45172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45172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45172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45172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45172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45172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45172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45172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45172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45172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45172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45172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45172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45172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45172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45172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45172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45172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45172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45172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45172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45172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45172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45172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45172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45172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45172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45172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45172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45172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45172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45172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45172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45172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45172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45172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45172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45172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45172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45172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45172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45172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45172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45172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45172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45172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45172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45172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45172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45172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45172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45172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45172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45172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45172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45172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45172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45172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45172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45172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45172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45172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45172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45172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45172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45172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45172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45172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45172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45172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45172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45172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45172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45172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45172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45172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45172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45172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45172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45172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45172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45172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45172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45172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45172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45172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45172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45172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45172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45172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45172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45172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45172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45172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45172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45172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45172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45172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45172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45172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45172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45172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45172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45172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45172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45172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45172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45172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45172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45172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45172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45172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45172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45172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45172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45172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45172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45172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45172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45172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45172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45172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45172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45172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45172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45172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45172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45172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45172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45172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45172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45172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45172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45172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45172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45172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45172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45172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45172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45172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45172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45172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45172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45172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45172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45172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45172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45172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45172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45172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45172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45172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45172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45172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45172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45172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45172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45172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45172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45172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45172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45172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45172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45172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45172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45172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45172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45172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45172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45172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45172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45172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45172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45172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45172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45172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45172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45172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45172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45172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45172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45172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45172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45172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45172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45172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45172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45172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45172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45172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45172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45172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45172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45172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45172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45172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45172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45172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45172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45172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45172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45172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45172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45172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45172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45172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45172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45172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45172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45172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45172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45172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45172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45172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45172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45172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45172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45172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45172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45172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45172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45172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45172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45172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45172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45172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45172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45172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45172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45172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45172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45172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45172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45172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45172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45172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45172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45172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45172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45172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45172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45172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45172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45172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45172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45172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45172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45172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45172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45172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45172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45172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45172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45172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45172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45172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45172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45172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45172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45172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45172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45172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45172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45172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45172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45172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45172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45172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45172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45172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45172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45172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45172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45172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45172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45172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45172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45172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45172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45172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45172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45172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45172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45172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45172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45172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45172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45172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45172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45172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45172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45172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45172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45172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45172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45172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45172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45172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45172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45172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45172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45172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45172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45172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45172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45172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45172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45172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45172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45172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45172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45172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45172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45172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45172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45172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45172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45172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45172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45172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45172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45172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45172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45172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45172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45172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45172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45172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45172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45172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45172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45172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45172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45172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45172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45172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45172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45172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45172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45172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45172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45172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45172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45172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45172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45172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45172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45172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45172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45172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45172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45172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45172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45172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45172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45172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45172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45172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45172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45172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45172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45172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45172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45172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45172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45172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45172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45172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45172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45172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45172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45172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45172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45172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45172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45172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45172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45172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45172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45172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45172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45172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45172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45172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45172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45172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45172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45172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45172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45172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45172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45172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45172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45172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45172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45172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45172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45172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45172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45172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45172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45172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45172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45172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45172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45172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45172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45172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45172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45172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45172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45172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45172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45172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45172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45172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45172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45172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45172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45172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45172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45172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45172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45172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45172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45172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45172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45172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45172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45172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45172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45172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45172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45172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45172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45172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45172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45172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45172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45172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45172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45172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45172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45172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45172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45172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45172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45172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45172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45172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45172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45172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45172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45172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45172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45172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45172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45172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45172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45172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45172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45172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45172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45172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45172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45172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45172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45172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45172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45172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45172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45172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45172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45172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45172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45172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45172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45172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45172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45172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45172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45172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45172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45172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45172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45172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45172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45172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45172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45172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45172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45172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45172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45172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45172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45172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45172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45172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45172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45172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45172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45172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45172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45172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45172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45172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45172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45172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45172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45172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45172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45172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45172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45172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45172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45172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45172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45172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45172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45172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45172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45172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45172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45172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45172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45172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45172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45172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45172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45172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45172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45172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45172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45172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45172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45172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45172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45172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45172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45172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45172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45172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45172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45172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45172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45172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45172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45172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45172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45172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45172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45172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45172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45172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45172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45172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45172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45172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45172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45172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45172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45172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45172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45172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45172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45172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45172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45172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45172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45172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45172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45172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45172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45172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45172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45172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45172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45172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45172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45172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45172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45172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45172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45172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45172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45172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45172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45172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45172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45172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45172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45172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45172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45172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45172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45172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45172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45172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45172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45172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45172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45172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45172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45172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45172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45172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45172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45172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45172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45172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45172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45172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45172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45172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45172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45172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45172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45172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45172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45172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45172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45172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45172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45172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45172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45172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45172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45172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45172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45172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45172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45172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45172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45172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45172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45172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45172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45172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45172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45172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45172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45172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45172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45172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45172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45172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45172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45172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45172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45172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45172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45172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45172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45172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45172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45172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45172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45172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45172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45172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45172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45172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45172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45172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45172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45172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45172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45172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45172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45172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45172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45172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45172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45172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45172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45172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45172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45172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45172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45172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45172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45172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45172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45172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45172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45172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45172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45172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45172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45172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45172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45172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45172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45172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45172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45172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45172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45172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45172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45172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45172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45172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45172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45172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45172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45172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45172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45172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45172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45172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45172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45172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45172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45172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45172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45172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45172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45172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45172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45172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45172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45172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45172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45172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45172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45172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45172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45172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45172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45172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45172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45172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45172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45172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45172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45172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45172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45172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45172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45172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45172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45172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45172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45172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45172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45172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45172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45172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45172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45172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45172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45172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45172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45172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45172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45172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45172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45172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45172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45172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45172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45172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45172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45172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45172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45172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45172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45172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45172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45172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45172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45172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45172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45172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45172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45172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45172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45172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45172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45172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45172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45172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45172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45172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45172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45172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45172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45172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45172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45172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45172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45172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45172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45172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45172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45172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45172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45172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45172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45172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45172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45172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45172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45172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45172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45172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45172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45172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45172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45172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45172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45172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45172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45172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45172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45172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45172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45172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45172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45172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45172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45172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45172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45172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45172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45172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45172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45172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45172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45172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45172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45172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45172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45172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45172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45172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45172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45172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45172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45172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45172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45172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45172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45172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45172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45172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45172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45172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45172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45172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45172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45172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45172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45172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45172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45172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45172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45172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45172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45172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45172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45172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45172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45172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45172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45172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45172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45172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45172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45172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45172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45172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45172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45172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45172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45172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45172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45172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45172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45172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45172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45172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45172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45172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45172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45172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45172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45172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45172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45172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45172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45172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45172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45172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45172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45172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45172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45172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45172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45172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45172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45172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45172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45172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45172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45172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45172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45172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45172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45172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45172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45172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45172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45172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45172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45172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45172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45172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45172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45172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45172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45172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45172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45172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45172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45172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45172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45172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45172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45172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45172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45172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45172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45172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45172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45172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45172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45172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45172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45172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45172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45172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45172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45172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45172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45172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45172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45172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45172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45172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45172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45172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45172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45172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45172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45172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45172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45172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45172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45172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45172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45172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45172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45172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45172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45172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45172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45172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45172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45172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45172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45172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45172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45172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45172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45172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45172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45172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45172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45172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45172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45172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45172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45172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45172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45172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45172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45172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45172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45172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45172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45172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45172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45172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45172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45172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45172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45172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45172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45172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45172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45172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45172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45172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45172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45172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45172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45172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45172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45172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45172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45172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45172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45172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45172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45172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45172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45172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45172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45172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45172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45172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45172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45172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45172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45172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45172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45172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45172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45172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45172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45172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45172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45172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45172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45172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45172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45172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45172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45172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45172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45172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45172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45172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45172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45172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45172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45172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45172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45172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45172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45172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45172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45172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45172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45172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45172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45172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45172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45172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45172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45172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45172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45172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45172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45172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45172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45172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45172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45172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45172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45172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45172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45172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45172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45172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45172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45172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45172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45172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45172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45172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45172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45172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45172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45172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45172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45172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45172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45172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45172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45172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45172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45172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45172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45172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45172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45172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45172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45172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45172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45172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45172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45172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45172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45172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45172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45172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45172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45172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45172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45172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45172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45172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45172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45172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45172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45172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45172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45172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45172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45172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45172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45172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45172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45172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45172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45172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45172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45172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45172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45172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45172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45172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45172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45172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45172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45172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45172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45172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45172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45172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45172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45172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45172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45172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45172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45172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45172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45172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45172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45172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45172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45172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45172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45172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45172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45172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45172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45172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45172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45172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45172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45172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45172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45172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45172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45172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45172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45172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45172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45172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45172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45172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45172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45172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45172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45172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45172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45172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45172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45172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45172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45172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45172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45172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45172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45172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45172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45172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45172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45172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45172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45172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45172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45172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45172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45172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45172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45172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45172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45172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45172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45172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45172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45172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45172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45172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45172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45172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45172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45172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45172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45172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45172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45172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45172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45172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45172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45172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45172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45172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45172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45172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45172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45172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45172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45172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45172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45172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45172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45172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45172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45172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45172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45172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45172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45172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45172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45172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45172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45172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45172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45172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45172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45172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45172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45172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45172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45172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45172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45172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45172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45172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45172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45172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45172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45172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45172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45172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45172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45172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45172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45172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45172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45172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45172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45172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45172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45172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45172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45172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45172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45172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45172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45172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45172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45172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45172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45172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45172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45172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45172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45172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45172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45172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45172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45172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45172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45172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45172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45172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45172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45172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45172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45172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45172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45172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45172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45172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45172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45172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45172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45172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45172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45172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45172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45172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45172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45172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45172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45172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45172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45172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45172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45172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45172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45172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45172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45172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45172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45172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45172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45172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45172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45172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45172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45172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45172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45172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45172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45172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45172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45172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45172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45172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45172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45172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45172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45172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45172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45172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45172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45172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45172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45172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45172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45172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45172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45172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45172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45172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45172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45172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45172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45172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45172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45172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45172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45172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45172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45172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45172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45172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45172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45172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45172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45172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45172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45172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45172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45172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45172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45172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45172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45172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45172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45172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45172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45172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45172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45172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45172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45172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45172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45172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45172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45172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45172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45172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45172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45172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45172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45172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45172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45172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45172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45172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45172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45172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45172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45172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45172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45172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45172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45172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45172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45172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45172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45172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45172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45172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45172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45172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45172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45172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45172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45172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45172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45172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45172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45172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45172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45172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45172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45172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45172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45172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45172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45172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45172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45172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45172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45172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45172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45172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45172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45172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45172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45172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45172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45172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45172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45172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45172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45172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45172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45172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45172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45172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45172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45172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45172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45172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45172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45172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45172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45172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45172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45172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45172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45172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45172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45172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45172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45172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45172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45172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45172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45172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45172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45172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45172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45172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45172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45172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45172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45172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45172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45172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45172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45172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45172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45172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45172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45172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45172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45172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45172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45172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45172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45172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45172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45172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45172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45172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45172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45172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45172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45172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45172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45172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45172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45172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45172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45172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45172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45172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45172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45172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45172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45172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45172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45172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45172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45172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45172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45172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45172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45172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45172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45172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45172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45172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45172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45172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45172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45172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45172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45172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45172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45172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45172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45172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45172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45172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45172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45172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45172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45172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45172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45172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45172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45172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45172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45172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45172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45172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45172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45172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45172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45172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45172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45172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45172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45172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45172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45172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45172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45172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45172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45172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45172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45172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45172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45172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45172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45172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45172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45172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45172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45172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45172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45172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45172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45172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45172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45172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45172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45172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45172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45172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45172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45172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45172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45172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45172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45172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45172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45172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45172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45172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45172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45172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45172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45172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45172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45172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45172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45172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45172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45172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45172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45172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45172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45172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45172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45172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45172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45172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45172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45172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45172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45172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45172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45172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45172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45172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45172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45172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45172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45172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45172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45172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45172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45172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45172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45172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45172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45172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45172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45172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45172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45172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45172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45172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45172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45172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45172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45172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45172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45172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45172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45172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45172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45172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45172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45172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45172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45172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45172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45172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45172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45172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45172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45172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45172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45172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45172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45172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45172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45172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45172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45172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45172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45172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45172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45172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45172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45172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45172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45172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45172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45172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45172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45172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45172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45172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45172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45172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45172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45172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45172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45172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45172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45172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45172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45172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45172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45172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45172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45172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45172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45172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45172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45172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45172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45172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45172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45172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45172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45172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45172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45172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45172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45172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45172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45172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45172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45172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45172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45172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45172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45172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45172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45172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45172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45172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45172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45172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45172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45172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45172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45172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45172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45172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45172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45172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45172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45172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45172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45172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45172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45172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45172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45172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45172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45172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45172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45172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45172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45172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45172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45172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45172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45172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45172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45172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45172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45172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45172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45172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45172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45172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45172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45172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45172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45172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45172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45172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45172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45172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45172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45172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45172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45172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45172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45172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45172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45172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45172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45172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45172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45172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45172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45172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45172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45172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45172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45172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45172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45172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45172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45172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45172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45172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45172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45172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45172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45172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45172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45172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45172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45172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45172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45172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45172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45172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45172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45172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45172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45172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45172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45172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45172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45172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45172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45172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45172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45172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45172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45172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45172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45172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45172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45172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45172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45172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45172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45172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45172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45172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45172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45172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45172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45172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45172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45172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45172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45172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45172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45172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45172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45172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45172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45172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45172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45172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45172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45172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45172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45172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45172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45172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45172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45172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45172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45172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45172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45172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45172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45172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45172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45172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45172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45172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45172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45172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45172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45172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45172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45172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45172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45172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45172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45172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45172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45172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45172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45172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45172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45172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45172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45172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45172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45172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45172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45172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45172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45172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45172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45172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45172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45172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45172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45172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45172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45172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45172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45172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45172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45172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45172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45172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45172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45172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45172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45172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45172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45172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45172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45172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45172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45172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45172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45172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45172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45172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45172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45172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45172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45172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45172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45172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45172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45172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45172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45172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45172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45172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45172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45172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45172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45172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45172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45172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45172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45172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45172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45172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45172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45172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45172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45172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45172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45172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45172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45172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45172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45172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45172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45172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45172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45172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45172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45172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45172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45172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45172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45172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45172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45172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45172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45172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45172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45172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45172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45172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45172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45172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45172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45172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45172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45172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45172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45172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45172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45172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45172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45172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45172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45172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45172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45172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45172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45172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45172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45172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45172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45172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45172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45172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45172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45172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45172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45172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45172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45172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45172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45172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45172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45172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45172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45172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45172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45172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45172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45172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45172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45172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45172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45172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45172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45172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45172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45172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45172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45172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45172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45172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45172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45172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45172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45172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45172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45172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45172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45172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45172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45172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45172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45172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45172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45172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45172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45172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45172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45172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45172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45172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45172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45172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45172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45172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45172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45172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45172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45172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45172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45172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45172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45172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45172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45172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45172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45172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45172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45172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45172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45172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45172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45172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45172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45172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45172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45172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45172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45172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45172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45172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45172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45172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45172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45172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45172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45172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45172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45172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45172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45172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45172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45172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45172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45172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45172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45172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45172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45172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45172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45172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45172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45172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45172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45172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45172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45172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45172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45172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45172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45172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45172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45172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45172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45172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45172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45172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45172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45172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45172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45172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45172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45172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45172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45172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45172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45172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45172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45172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45172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45172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45172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45172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45172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45172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45172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45172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45172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45172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45172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45172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45172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45172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45172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45172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45172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45172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45172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45172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45172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45172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45172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45172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45172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45172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45172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45172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45172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45172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45172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45172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45172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45172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45172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45172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45172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45172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45172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45172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45172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45172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45172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45172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45172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45172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45172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45172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45172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45172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45172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45172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45172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45172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45172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45172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45172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45172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45172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45172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45172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45172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45172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45172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45172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45172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45172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45172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45172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45172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45172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45172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45172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45172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45172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45172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45172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45172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45172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45172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45172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45172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45172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45172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45172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45172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45172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45172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45172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45172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45172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45172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45172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45172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45172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45172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45172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45172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45172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45172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45172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45172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45172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45172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45172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45172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45172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45172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45172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45172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45172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45172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45172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45172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45172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45172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45172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45172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45172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45172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45172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45172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45172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45172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45172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45172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45172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45172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45172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45172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45172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45172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45172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45172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45172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45172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45172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45172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45172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45172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45172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45172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45172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45172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45172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45172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45172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45172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45172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45172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45172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45172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45172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45172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45172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45172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45172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45172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45172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45172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45172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45172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45172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45172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45172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45172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45172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45172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45172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45172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45172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45172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45172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45172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45172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45172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45172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45172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45172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45172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45172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45172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45172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45172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45172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45172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45172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45172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45172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45172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45172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45172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45172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45172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45172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45172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45172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45172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45172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45172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45172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45172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45172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45172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45172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45172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45172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45172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45172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45172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45172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45172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45172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45172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45172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45172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45172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45172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45172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45172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45172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45172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45172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45172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45172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45172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45172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45172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45172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45172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45172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45172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45172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45172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45172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45172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45172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45172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45172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45172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45172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45172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45172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45172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45172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45172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45172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45172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45172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45172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45172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45172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45172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45172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45172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45172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45172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45172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45172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45172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45172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45172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45172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45172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45172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45172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45172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45172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45172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45172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45172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45172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45172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45172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45172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45172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45172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45172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45172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45172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45172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45172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45172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45172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45172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45172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45172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45172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45172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45172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45172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45172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45172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45172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45172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45172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45172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45172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45172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45172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45172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45172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45172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45172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45172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45172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45172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45172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45172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45172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45172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45172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45172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45172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45172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45172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45172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45172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45172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45172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45172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45172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45172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45172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45172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45172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45172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45172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45172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45172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45172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45172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45172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45172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45172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45172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45172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45172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45172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45172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45172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45172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45172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45172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45172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45172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45172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45172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45172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45172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45172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45172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45172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45172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45172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45172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45172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45172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45172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45172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45172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45172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45172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45172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45172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45172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45172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45172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45172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45172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45172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45172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45172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45172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45172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45172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45172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45172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45172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45172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45172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45172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45172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45172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45172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45172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45172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45172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45172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45172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45172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45172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45172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45172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45172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45172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45172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45172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45172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45172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45172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45172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45172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45172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45172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45172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45172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45172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45172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45172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45172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45172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45172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45172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45172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45172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45172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45172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45172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45172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45172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45172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45172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45172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45172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45172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45172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45172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45172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45172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45172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45172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45172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45172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45172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45172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45172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45172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45172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45172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45172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45172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45172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45172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45172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45172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45172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45172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45172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45172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45172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45172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45172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45172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45172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45172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45172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45172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45172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45172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45172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45172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45172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45172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45172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45172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45172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45172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45172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45172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45172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45172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45172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45172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45172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45172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45172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45172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45172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45172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45172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45172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45172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45172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45172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45172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45172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45172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45172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45172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45172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45172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45172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45172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45172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45172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45172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45172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45172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45172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45172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45172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45172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45172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45172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45172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45172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45172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45172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45172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45172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45172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45172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45172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45172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45172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45172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45172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45172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45172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45172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45172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45172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45172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45172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45172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45172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45172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45172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45172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45172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45172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45172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45172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45172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45172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45172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45172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45172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45172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45172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45172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45172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45172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45172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45172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45172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45172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45172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45172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45172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45172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45172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45172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45172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45172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45172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45172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45172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45172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45172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45172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45172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45172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45172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45172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45172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45172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45172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45172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45172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45172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45172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45172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45172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45172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45172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45172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45172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45172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45172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45172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45172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45172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45172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45172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45172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45172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45172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45172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45172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45172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45172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45172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45172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45172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45172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45172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45172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45172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45172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45172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45172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45172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45172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45172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45172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45172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45172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45172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45172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45172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45172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45172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45172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45172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45172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45172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45172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45172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45172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45172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45172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45172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45172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45172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45172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45172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45172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45172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45172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45172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45172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45172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45172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45172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45172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45172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45172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45172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45172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45172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45172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45172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45172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45172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45172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45172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45172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45172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45172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45172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45172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45172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45172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45172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45172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45172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45172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45172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45172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45172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45172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45172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45172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45172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45172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45172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45172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45172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45172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45172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45172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45172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45172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45172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45172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45172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45172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45172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45172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45172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45172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45172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45172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45172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45172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45172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45172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45172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45172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45172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45172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45172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45172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45172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45172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45172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45172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45172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45172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45172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45172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45172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45172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45172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45172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45172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45172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45172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45172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45172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45172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45172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45172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45172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45172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45172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45172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45172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45172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45172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45172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45172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45172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45172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45172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45172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45172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45172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45172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45172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45172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45172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45172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45172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45172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45172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45172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45172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45172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45172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45172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45172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45172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45172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45172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45172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45172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45172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45172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45172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45172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45172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45172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45172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45172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45172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45172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45172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45172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45172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45172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45172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45172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45172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45172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45172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45172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45172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45172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45172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45172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45172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45172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45172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45172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45172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45172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45172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45172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45172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45172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45172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45172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45172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45172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45172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45172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45172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45172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45172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45172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45172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45172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45172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45172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45172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45172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45172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45172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45172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45172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45172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45172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45172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45172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45172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45172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45172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45172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45172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45172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45172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45172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45172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45172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45172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45172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45172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45172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45172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45172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45172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45172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45172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45172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45172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45172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45172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45172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45172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45172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45172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45172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45172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45172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45172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45172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45172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45172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45172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45172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45172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45172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45172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45172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45172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45172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45172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45172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45172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45172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45172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45172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45172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45172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45172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45172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45172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45172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45172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45172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45172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45172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45172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45172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45172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45172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45172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45172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45172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45172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45172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45172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45172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45172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45172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45172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45172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45172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45172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45172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45172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45172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45172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45172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45172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45172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45172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45172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45172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45172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45172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45172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45172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45172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45172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45172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45172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45172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45172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45172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45172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45172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45172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45172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45172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45172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45172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45172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45172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45172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45172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45172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45172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45172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45172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45172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45172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45172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45172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45172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45172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45172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45172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45172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45172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45172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45172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45172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45172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45172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45172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45172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45172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45172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45172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45172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45172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45172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45172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45172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45172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45172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45172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45172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45172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45172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45172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45172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45172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45172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45172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45172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45172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45172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45172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45172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45172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45172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45172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45172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45172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45172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45172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45172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45172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45172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45172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45172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45172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45172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45172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45172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45172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45172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45172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45172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45172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45172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45172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45172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45172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45172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45172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45172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45172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45172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45172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45172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45172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45172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45172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45172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45172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45172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45172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45172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45172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45172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45172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45172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45172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45172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45172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45172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45172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45172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45172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45172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45172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45172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45172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45172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45172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45172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45172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45172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45172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45172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45172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45172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45172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45172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45172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45172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45172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45172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45172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45172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45172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45172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45172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45172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45172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45172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45172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45172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45172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45172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45172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45172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45172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45172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45172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45172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45172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45172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45172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45172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45172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45172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45172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45172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45172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45172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45172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45172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45172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45172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45172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45172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45172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45172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45172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45172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45172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45172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45172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45172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45172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45172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45172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45172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45172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45172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45172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45172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45172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45172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45172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45172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45172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45172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45172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45172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45172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45172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45172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45172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45172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45172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45172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45172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45172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45172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45172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45172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45172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45172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45172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45172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45172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45172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45172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45172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45172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45172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45172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45172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45172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45172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45172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45172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45172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45172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45172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45172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45172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45172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45172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45172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45172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45172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45172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45172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45172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45172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45172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45172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45172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45172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45172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45172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45172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45172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45172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45172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45172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45172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45172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45172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45172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45172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45172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45172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45172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45172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45172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45172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45172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45172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45172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45172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45172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45172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45172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45172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45172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45172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45172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45172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45172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45172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45172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45172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45172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45172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45172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45172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45172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45172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45172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45172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45172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45172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45172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45172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45172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45172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45172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45172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45172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45172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45172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45172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45172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45172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45172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45172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45172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45172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45172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45172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45172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45172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45172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45172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45172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45172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45172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45172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45172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45172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45172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45172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45172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45172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45172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45172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45172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45172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45172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45172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45172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45172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45172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45172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45172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45172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45172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45172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45172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45172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45172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45172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45172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45172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45172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45172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45172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45172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45172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45172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45172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45172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45172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45172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45172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45172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45172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45172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45172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45172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45172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45172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45172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45172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45172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45172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45172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45172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45172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45172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45172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45172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45172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45172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45172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45172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45172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45172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45172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45172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45172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45172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45172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45172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45172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45172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45172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45172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45172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45172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45172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45172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45172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45172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45172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45172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45172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45172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45172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45172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45172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45172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45172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45172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45172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45172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45172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45172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45172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45172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45172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45172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45172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45172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45172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45172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45172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45172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45172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45172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45172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45172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45172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45172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45172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45172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45172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45172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45172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45172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45172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45172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45172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45172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45172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45172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45172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45172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45172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45172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45172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45172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45172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45172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45172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45172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45172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45172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45172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45172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45172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45172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45172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45172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45172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45172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45172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45172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45172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45172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45172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45172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45172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45172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45172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45172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45172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45172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45172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45172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45172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45172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45172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45172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45172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45172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45172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45172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45172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45172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45172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45172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45172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45172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45172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45172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45172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45172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45172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45172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45172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45172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45172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45172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45172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45172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45172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45172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45172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45172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45172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45172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45172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45172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45172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45172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45172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45172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45172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45172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45172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45172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45172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45172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45172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45172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45172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45172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45172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45172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45172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45172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45172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45172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45172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45172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45172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45172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45172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45172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45172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45172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45172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45172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45172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45172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45172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45172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45172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45172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45172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45172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45172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45172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45172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45172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45172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45172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45172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45172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45172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45172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45172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45172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45172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45172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45172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45172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45172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45172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45172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45172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45172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45172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45172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45172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45172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45172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45172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45172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45172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45172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45172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45172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45172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45172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45172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45172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45172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45172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45172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45172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45172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45172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45172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45172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45172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45172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45172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45172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45172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45172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45172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45172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45172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45172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45172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45172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45172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45172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45172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45172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45172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45172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45172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45172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45172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45172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45172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45172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45172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45172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45172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45172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45172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45172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45172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45172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45172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45172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45172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45172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45172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45172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45172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45172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45172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45172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45172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45172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45172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45172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45172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45172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45172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45172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45172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45172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45172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45172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45172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45172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45172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45172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45172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45172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45172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45172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45172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45172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45172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45172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45172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45172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45172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45172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45172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45172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45172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45172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45172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45172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45172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45172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45172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45172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45172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45172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45172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45172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45172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45172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45172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45172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45172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45172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45172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45172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45172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45172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45172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45172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45172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45172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45172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45172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45172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45172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45172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45172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45172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45172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45172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45172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45172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45172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45172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45172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45172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45172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45172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45172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45172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45172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45172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45172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45172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45172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45172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45172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45172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45172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45172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45172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45172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45172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45172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45172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45172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45172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45172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45172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45172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45172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45172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45172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45172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45172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45172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45172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45172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45172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45172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45172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45172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45172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45172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45172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45172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45172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45172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45172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45172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45172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45172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45172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45172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45172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45172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45172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45172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45172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45172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45172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45172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45172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45172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45172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45172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45172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45172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45172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45172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45172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45172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45172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45172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45172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45172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45172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45172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45172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45172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45172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45172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45172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45172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45172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45172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45172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45172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45172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45172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45172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45172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45172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45172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45172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45172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45172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45172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45172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45172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45172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45172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45172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45172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45172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45172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45172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45172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45172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45172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45172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45172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45172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45172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45172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45172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45172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45172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45172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45172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45172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45172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45172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45172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45172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45172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45172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45172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45172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45172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45172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45172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45172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45172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45172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45172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45172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45172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45172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45172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45172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45172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45172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45172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45172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45172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45172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45172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45172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45172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45172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45172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45172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45172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45172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45172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45172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45172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45172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45172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45172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45172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45172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45172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45172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45172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45172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45172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45172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45172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45172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45172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45172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45172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45172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45172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45172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45172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45172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45172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45172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45172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45172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45172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45172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45172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45172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45172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45172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45172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45172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45172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45172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45172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45172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45172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45172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45172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45172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45172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45172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45172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45172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45172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45172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45172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45172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45172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45172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45172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45172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45172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45172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45172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45172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45172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45172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45172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45172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45172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45172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45172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45172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45172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45172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45172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45172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45172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45172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45172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45172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45172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45172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45172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45172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45172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45172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45172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45172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45172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45172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45172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45172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45172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45172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45172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45172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45172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45172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45172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45172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45172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45172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45172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45172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45172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45172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45172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45172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45172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45172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45172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45172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45172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45172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45172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45172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45172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45172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45172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45172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45172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45172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45172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45172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45172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45172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45172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45172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45172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45172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45172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45172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45172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45172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45172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45172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45172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45172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45172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45172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45172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45172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45172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45172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45172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45172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45172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45172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45172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45172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45172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45172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45172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45172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45172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45172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45172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45172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45172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45172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45172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45172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45172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45172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45172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45172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45172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45172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45172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45172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45172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45172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45172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45172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45172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45172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45172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45172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45172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45172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45172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45172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45172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45172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45172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45172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45172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45172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45172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45172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45172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45172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45172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45172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45172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45172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45172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45172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45172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45172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45172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45172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45172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45172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45172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45172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45172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45172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45172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45172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45172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45172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45172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45172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45172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45172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45172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45172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45172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45172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45172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45172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45172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45172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45172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45172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45172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45172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45172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45172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45172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45172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45172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45172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45172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45172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45172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45172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45172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45172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45172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45172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45172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45172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45172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45172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45172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45172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45172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45172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45172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45172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45172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45172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45172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45172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45172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45172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45172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45172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45172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45172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45172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45172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45172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45172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45172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45172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45172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45172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45172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45172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45172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45172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45172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45172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45172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45172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45172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45172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45172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45172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45172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45172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45172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45172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45172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45172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45172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45172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45172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45172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45172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45172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45172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45172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45172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45172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45172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45172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45172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45172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45172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45172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45172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45172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45172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45172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45172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45172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45172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45172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45172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45172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45172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45172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45172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45172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45172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45172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45172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45172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45172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45172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45172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45172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45172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45172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45172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45172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45172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45172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45172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45172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45172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45172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45172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45172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45172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45172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45172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45172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45172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45172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45172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45172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45172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45172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45172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45172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45172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45172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45172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45172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45172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45172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45172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45172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45172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45172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45172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45172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45172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45172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45172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45172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45172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45172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45172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45172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45172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45172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45172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45172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45172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45172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45172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45172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45172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45172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45172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45172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45172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45172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45172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45172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45172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45172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45172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45172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45172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45172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45172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45172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45172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45172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45172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45172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45172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45172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45172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45172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45172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45172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45172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45172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45172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45172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45172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45172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45172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45172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45172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45172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45172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45172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45172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45172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45172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45172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45172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45172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45172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45172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45172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45172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45172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45172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45172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45172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45172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45172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45172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45172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45172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45172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45172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45172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45172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45172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45172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45172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45172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45172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45172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45172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45172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45172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45172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45172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45172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45172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45172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45172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45172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45172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45172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45172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45172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45172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45172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45172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45172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45172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45172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45172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45172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45172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45172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45172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45172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45172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45172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45172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45172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45172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45172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45172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45172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45172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45172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45172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45172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45172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45172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45172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45172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45172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45172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45172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45172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45172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45172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45172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45172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45172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45172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45172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45172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45172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45172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45172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45172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45172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45172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45172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45172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45172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45172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45172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45172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45172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45172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45172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45172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45172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45172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45172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45172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45172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45172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45172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45172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45172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45172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45172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45172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45172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45172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45172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45172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45172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45172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45172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45172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45172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45172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45172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45172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45172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45172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45172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45172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45172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45172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45172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45172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45172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45172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45172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45172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45172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45172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45172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45172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45172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45172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45172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45172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45172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45172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45172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45172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45172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45172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45172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45172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45172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45172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45172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45172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45172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45172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45172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45172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45172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45172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45172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45172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45172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45172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45172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45172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45172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45172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45172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45172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45172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45172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45172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45172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45172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45172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45172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45172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45172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45172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45172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45172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45172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45172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45172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45172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45172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45172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45172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45172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45172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45172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45172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45172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45172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45172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45172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45172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45172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45172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45172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45172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45172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45172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45172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45172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45172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45172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45172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45172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45172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45172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45172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45172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45172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45172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45172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45172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45172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45172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45172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45172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45172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45172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45172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45172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45172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45172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45172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45172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45172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45172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45172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45172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45172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45172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45172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45172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45172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45172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45172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45172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45172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45172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45172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45172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45172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45172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45172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45172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45172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45172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45172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45172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45172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45172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45172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45172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45172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45172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45172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45172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45172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45172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45172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45172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45172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45172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45172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45172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45172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45172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45172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45172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45172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45172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45172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45172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45172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45172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45172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45172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45172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45172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45172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45172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45172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45172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45172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45172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45172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45172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45172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45172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45172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45172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45172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45172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45172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45172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45172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45172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45172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45172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45172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45172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45172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45172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45172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45172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45172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45172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45172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45172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45172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45172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45172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45172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45172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45172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45172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45172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45172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45172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45172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45172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45172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45172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45172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45172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45172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45172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45172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45172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45172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45172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45172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45172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45172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45172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45172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45172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45172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45172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45172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45172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45172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45172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45172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45172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45172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45172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45172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45172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45172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45172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45172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45172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45172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45172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45172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45172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45172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45172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45172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45172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45172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45172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45172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45172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45172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45172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45172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45172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45172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45172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45172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45172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45172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45172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45172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45172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45172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45172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45172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45172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45172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45172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45172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45172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45172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45172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45172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45172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45172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45172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45172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45172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45172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45172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45172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45172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45172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45172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45172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45172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45172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45172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45172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45172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45172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45172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45172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45172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45172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45172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45172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45172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45172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45172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45172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45172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45172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45172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45172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45172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45172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45172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45172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45172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45172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45172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45172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45172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45172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45172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45172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45172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45172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45172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45172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45172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45172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45172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45172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45172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45172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45172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45172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45172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45172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45172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45172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45172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45172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45172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45172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45172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45172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45172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45172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45172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45172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45172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45172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45172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45172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45172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45172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45172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45172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45172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45172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45172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45172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45172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45172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45172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45172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45172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45172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45172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45172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45172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45172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45172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45172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45172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45172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45172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45172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45172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45172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45172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45172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45172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45172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45172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45172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45172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45172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45172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45172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45172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45172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45172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45172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45172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45172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45172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45172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45172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45172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45172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45172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45172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45172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45172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45172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45172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45172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45172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45172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45172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45172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45172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45172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45172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45172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45172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45172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45172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45172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45172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45172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45172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45172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45172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45172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45172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45172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45172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45172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45172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45172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45172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45172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45172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45172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45172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45172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45172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45172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45172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45172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45172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45172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45172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45172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45172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45172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45172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45172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45172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45172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45172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45172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45172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45172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45172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45172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45172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45172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45172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45172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45172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45172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45172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45172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45172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45172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45172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45172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45172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45172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45172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45172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45172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45172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45172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45172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45172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45172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45172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45172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45172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45172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45172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45172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45172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45172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45172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45172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45172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45172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45172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45172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45172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45172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45172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45172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45172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45172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45172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45172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45172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45172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45172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45172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45172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45172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45172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45172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45172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45172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45172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45172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45172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45172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45172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45172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45172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45172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45172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45172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45172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45172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45172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45172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45172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45172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45172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45172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45172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45172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45172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45172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45172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45172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45172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45172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45172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45172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45172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45172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45172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45172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45172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45172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45172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45172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45172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45172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45172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45172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45172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45172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45172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45172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45172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45172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45172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45172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45172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45172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45172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45172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45172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45172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45172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45172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45172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45172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45172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45172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45172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45172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45172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45172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45172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45172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45172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45172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45172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45172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45172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45172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45172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45172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45172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45172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45172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45172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45172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45172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45172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45172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45172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45172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45172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45172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45172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45172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45172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45172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45172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45172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45172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45172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45172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45172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45172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45172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45172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45172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45172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45172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45172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45172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45172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45172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45172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45172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45172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45172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45172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45172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45172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45172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45172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45172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45172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45172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45172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45172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45172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45172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45172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45172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45172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45172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45172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45172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45172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45172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45172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45172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45172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45172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45172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45172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45172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45172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45172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45172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45172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45172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45172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45172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45172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45172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45172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45172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45172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45172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45172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45172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45172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45172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45172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45172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45172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45172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45172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45172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45172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45172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45172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45172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45172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45172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45172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45172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45172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45172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45172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45172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45172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45172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45172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45172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45172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45172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45172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45172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45172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45172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45172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45172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45172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45172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45172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45172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45172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45172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45172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45172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45172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45172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45172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45172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45172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45172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45172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45172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45172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45172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45172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45172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45172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45172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45172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45172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45172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45172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45172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45172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45172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45172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45172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45172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45172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45172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45172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45172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45172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45172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45172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45172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45172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45172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45172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45172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45172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45172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45172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45172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45172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45172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45172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45172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45172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45172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45172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45172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45172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45172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45172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45172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45172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45172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45172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45172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45172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45172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45172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45172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45172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45172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45172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45172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45172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45172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45172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45172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45172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45172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45172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45172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45172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45172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45172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45172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45172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45172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45172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45172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45172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45172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45172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45172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45172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45172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45172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45172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45172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45172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45172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45172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45172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45172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45172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45172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45172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45172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45172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45172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45172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45172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45172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45172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45172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45172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45172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45172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45172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45172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45172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45172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45172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45172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45172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45172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45172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45172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45172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45172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45172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45172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45172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45172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45172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45172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45172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45172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45172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45172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45172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45172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45172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45172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45172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45172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45172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45172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45172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45172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45172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45172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45172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45172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45172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45172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45172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45172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45172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45172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45172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45172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45172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45172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45172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45172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45172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45172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45172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45172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45172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45172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45172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45172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45172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45172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45172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45172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45172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45172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45172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45172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45172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45172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45172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45172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45172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45172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45172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45172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45172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45172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45172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45172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45172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45172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45172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45172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45172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45172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45172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45172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45172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45172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45172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45172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45172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45172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45172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45172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45172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45172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45172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45172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45172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45172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45172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45172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45172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45172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45172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45172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45172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45172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45172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45172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45172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45172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45172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45172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45172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45172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45172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45172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45172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45172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45172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45172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45172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45172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45172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45172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45172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45172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45172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45172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45172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45172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45172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45172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45172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45172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45172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45172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45172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45172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45172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>
      <c r="A5750" t="inlineStr">
        <is>
          <t>A 40553-2023</t>
        </is>
      </c>
      <c r="B5750" s="1" t="n">
        <v>45170</v>
      </c>
      <c r="C5750" s="1" t="n">
        <v>45172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2023-09-03T04:42:46Z</dcterms:created>
  <dcterms:modified xmlns:dcterms="http://purl.org/dc/terms/" xmlns:xsi="http://www.w3.org/2001/XMLSchema-instance" xsi:type="dcterms:W3CDTF">2023-09-03T04:42:48Z</dcterms:modified>
</cp:coreProperties>
</file>