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45177</v>
      </c>
      <c r="D2" t="inlineStr">
        <is>
          <t>JÄMTLANDS LÄN</t>
        </is>
      </c>
      <c r="E2" t="inlineStr">
        <is>
          <t>ÖSTERSUND</t>
        </is>
      </c>
      <c r="G2" t="n">
        <v>70.59999999999999</v>
      </c>
      <c r="H2" t="n">
        <v>10</v>
      </c>
      <c r="I2" t="n">
        <v>8</v>
      </c>
      <c r="J2" t="n">
        <v>14</v>
      </c>
      <c r="K2" t="n">
        <v>7</v>
      </c>
      <c r="L2" t="n">
        <v>0</v>
      </c>
      <c r="M2" t="n">
        <v>0</v>
      </c>
      <c r="N2" t="n">
        <v>0</v>
      </c>
      <c r="O2" t="n">
        <v>21</v>
      </c>
      <c r="P2" t="n">
        <v>7</v>
      </c>
      <c r="Q2" t="n">
        <v>32</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2">
        <f>HYPERLINK("https://klasma.github.io/Logging_OSTERSUND/artfynd/A 37096-2023.xlsx")</f>
        <v/>
      </c>
      <c r="T2">
        <f>HYPERLINK("https://klasma.github.io/Logging_OSTERSUND/kartor/A 37096-2023.png")</f>
        <v/>
      </c>
      <c r="U2">
        <f>HYPERLINK("https://klasma.github.io/Logging_OSTERSUND/knärot/A 37096-2023.png")</f>
        <v/>
      </c>
      <c r="V2">
        <f>HYPERLINK("https://klasma.github.io/Logging_OSTERSUND/klagomål/A 37096-2023.docx")</f>
        <v/>
      </c>
      <c r="W2">
        <f>HYPERLINK("https://klasma.github.io/Logging_OSTERSUND/klagomålsmail/A 37096-2023.docx")</f>
        <v/>
      </c>
      <c r="X2">
        <f>HYPERLINK("https://klasma.github.io/Logging_OSTERSUND/tillsyn/A 37096-2023.docx")</f>
        <v/>
      </c>
      <c r="Y2">
        <f>HYPERLINK("https://klasma.github.io/Logging_OSTERSUND/tillsynsmail/A 37096-2023.docx")</f>
        <v/>
      </c>
    </row>
    <row r="3" ht="15" customHeight="1">
      <c r="A3" t="inlineStr">
        <is>
          <t>A 29992-2023</t>
        </is>
      </c>
      <c r="B3" s="1" t="n">
        <v>45109</v>
      </c>
      <c r="C3" s="1" t="n">
        <v>45177</v>
      </c>
      <c r="D3" t="inlineStr">
        <is>
          <t>JÄMTLANDS LÄN</t>
        </is>
      </c>
      <c r="E3" t="inlineStr">
        <is>
          <t>ÖSTERSUND</t>
        </is>
      </c>
      <c r="G3" t="n">
        <v>93.3</v>
      </c>
      <c r="H3" t="n">
        <v>9</v>
      </c>
      <c r="I3" t="n">
        <v>11</v>
      </c>
      <c r="J3" t="n">
        <v>12</v>
      </c>
      <c r="K3" t="n">
        <v>3</v>
      </c>
      <c r="L3" t="n">
        <v>1</v>
      </c>
      <c r="M3" t="n">
        <v>0</v>
      </c>
      <c r="N3" t="n">
        <v>0</v>
      </c>
      <c r="O3" t="n">
        <v>16</v>
      </c>
      <c r="P3" t="n">
        <v>4</v>
      </c>
      <c r="Q3" t="n">
        <v>30</v>
      </c>
      <c r="R3"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f>
        <v/>
      </c>
      <c r="T3">
        <f>HYPERLINK("https://klasma.github.io/Logging_OSTERSUND/kartor/A 29992-2023.png")</f>
        <v/>
      </c>
      <c r="U3">
        <f>HYPERLINK("https://klasma.github.io/Logging_OSTERSUND/knärot/A 29992-2023.png")</f>
        <v/>
      </c>
      <c r="V3">
        <f>HYPERLINK("https://klasma.github.io/Logging_OSTERSUND/klagomål/A 29992-2023.docx")</f>
        <v/>
      </c>
      <c r="W3">
        <f>HYPERLINK("https://klasma.github.io/Logging_OSTERSUND/klagomålsmail/A 29992-2023.docx")</f>
        <v/>
      </c>
      <c r="X3">
        <f>HYPERLINK("https://klasma.github.io/Logging_OSTERSUND/tillsyn/A 29992-2023.docx")</f>
        <v/>
      </c>
      <c r="Y3">
        <f>HYPERLINK("https://klasma.github.io/Logging_OSTERSUND/tillsynsmail/A 29992-2023.docx")</f>
        <v/>
      </c>
    </row>
    <row r="4" ht="15" customHeight="1">
      <c r="A4" t="inlineStr">
        <is>
          <t>A 51192-2019</t>
        </is>
      </c>
      <c r="B4" s="1" t="n">
        <v>43739</v>
      </c>
      <c r="C4" s="1" t="n">
        <v>45177</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f>
        <v/>
      </c>
      <c r="T4">
        <f>HYPERLINK("https://klasma.github.io/Logging_OSTERSUND/kartor/A 51192-2019.png")</f>
        <v/>
      </c>
      <c r="U4">
        <f>HYPERLINK("https://klasma.github.io/Logging_OSTERSUND/knärot/A 51192-2019.png")</f>
        <v/>
      </c>
      <c r="V4">
        <f>HYPERLINK("https://klasma.github.io/Logging_OSTERSUND/klagomål/A 51192-2019.docx")</f>
        <v/>
      </c>
      <c r="W4">
        <f>HYPERLINK("https://klasma.github.io/Logging_OSTERSUND/klagomålsmail/A 51192-2019.docx")</f>
        <v/>
      </c>
      <c r="X4">
        <f>HYPERLINK("https://klasma.github.io/Logging_OSTERSUND/tillsyn/A 51192-2019.docx")</f>
        <v/>
      </c>
      <c r="Y4">
        <f>HYPERLINK("https://klasma.github.io/Logging_OSTERSUND/tillsynsmail/A 51192-2019.docx")</f>
        <v/>
      </c>
    </row>
    <row r="5" ht="15" customHeight="1">
      <c r="A5" t="inlineStr">
        <is>
          <t>A 60950-2019</t>
        </is>
      </c>
      <c r="B5" s="1" t="n">
        <v>43782</v>
      </c>
      <c r="C5" s="1" t="n">
        <v>45177</v>
      </c>
      <c r="D5" t="inlineStr">
        <is>
          <t>JÄMTLANDS LÄN</t>
        </is>
      </c>
      <c r="E5" t="inlineStr">
        <is>
          <t>ÖSTERSUND</t>
        </is>
      </c>
      <c r="G5" t="n">
        <v>12.8</v>
      </c>
      <c r="H5" t="n">
        <v>1</v>
      </c>
      <c r="I5" t="n">
        <v>1</v>
      </c>
      <c r="J5" t="n">
        <v>10</v>
      </c>
      <c r="K5" t="n">
        <v>8</v>
      </c>
      <c r="L5" t="n">
        <v>1</v>
      </c>
      <c r="M5" t="n">
        <v>0</v>
      </c>
      <c r="N5" t="n">
        <v>0</v>
      </c>
      <c r="O5" t="n">
        <v>19</v>
      </c>
      <c r="P5" t="n">
        <v>9</v>
      </c>
      <c r="Q5" t="n">
        <v>20</v>
      </c>
      <c r="R5"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f>
        <v/>
      </c>
      <c r="T5">
        <f>HYPERLINK("https://klasma.github.io/Logging_OSTERSUND/kartor/A 60950-2019.png")</f>
        <v/>
      </c>
      <c r="V5">
        <f>HYPERLINK("https://klasma.github.io/Logging_OSTERSUND/klagomål/A 60950-2019.docx")</f>
        <v/>
      </c>
      <c r="W5">
        <f>HYPERLINK("https://klasma.github.io/Logging_OSTERSUND/klagomålsmail/A 60950-2019.docx")</f>
        <v/>
      </c>
      <c r="X5">
        <f>HYPERLINK("https://klasma.github.io/Logging_OSTERSUND/tillsyn/A 60950-2019.docx")</f>
        <v/>
      </c>
      <c r="Y5">
        <f>HYPERLINK("https://klasma.github.io/Logging_OSTERSUND/tillsynsmail/A 60950-2019.docx")</f>
        <v/>
      </c>
    </row>
    <row r="6" ht="15" customHeight="1">
      <c r="A6" t="inlineStr">
        <is>
          <t>A 26155-2021</t>
        </is>
      </c>
      <c r="B6" s="1" t="n">
        <v>44344</v>
      </c>
      <c r="C6" s="1" t="n">
        <v>45177</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f>
        <v/>
      </c>
      <c r="T6">
        <f>HYPERLINK("https://klasma.github.io/Logging_OSTERSUND/kartor/A 26155-2021.png")</f>
        <v/>
      </c>
      <c r="U6">
        <f>HYPERLINK("https://klasma.github.io/Logging_OSTERSUND/knärot/A 26155-2021.png")</f>
        <v/>
      </c>
      <c r="V6">
        <f>HYPERLINK("https://klasma.github.io/Logging_OSTERSUND/klagomål/A 26155-2021.docx")</f>
        <v/>
      </c>
      <c r="W6">
        <f>HYPERLINK("https://klasma.github.io/Logging_OSTERSUND/klagomålsmail/A 26155-2021.docx")</f>
        <v/>
      </c>
      <c r="X6">
        <f>HYPERLINK("https://klasma.github.io/Logging_OSTERSUND/tillsyn/A 26155-2021.docx")</f>
        <v/>
      </c>
      <c r="Y6">
        <f>HYPERLINK("https://klasma.github.io/Logging_OSTERSUND/tillsynsmail/A 26155-2021.docx")</f>
        <v/>
      </c>
    </row>
    <row r="7" ht="15" customHeight="1">
      <c r="A7" t="inlineStr">
        <is>
          <t>A 67457-2019</t>
        </is>
      </c>
      <c r="B7" s="1" t="n">
        <v>43813</v>
      </c>
      <c r="C7" s="1" t="n">
        <v>45177</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f>
        <v/>
      </c>
      <c r="T7">
        <f>HYPERLINK("https://klasma.github.io/Logging_OSTERSUND/kartor/A 67457-2019.png")</f>
        <v/>
      </c>
      <c r="V7">
        <f>HYPERLINK("https://klasma.github.io/Logging_OSTERSUND/klagomål/A 67457-2019.docx")</f>
        <v/>
      </c>
      <c r="W7">
        <f>HYPERLINK("https://klasma.github.io/Logging_OSTERSUND/klagomålsmail/A 67457-2019.docx")</f>
        <v/>
      </c>
      <c r="X7">
        <f>HYPERLINK("https://klasma.github.io/Logging_OSTERSUND/tillsyn/A 67457-2019.docx")</f>
        <v/>
      </c>
      <c r="Y7">
        <f>HYPERLINK("https://klasma.github.io/Logging_OSTERSUND/tillsynsmail/A 67457-2019.docx")</f>
        <v/>
      </c>
    </row>
    <row r="8" ht="15" customHeight="1">
      <c r="A8" t="inlineStr">
        <is>
          <t>A 47280-2020</t>
        </is>
      </c>
      <c r="B8" s="1" t="n">
        <v>44097</v>
      </c>
      <c r="C8" s="1" t="n">
        <v>45177</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f>
        <v/>
      </c>
      <c r="T8">
        <f>HYPERLINK("https://klasma.github.io/Logging_OSTERSUND/kartor/A 47280-2020.png")</f>
        <v/>
      </c>
      <c r="V8">
        <f>HYPERLINK("https://klasma.github.io/Logging_OSTERSUND/klagomål/A 47280-2020.docx")</f>
        <v/>
      </c>
      <c r="W8">
        <f>HYPERLINK("https://klasma.github.io/Logging_OSTERSUND/klagomålsmail/A 47280-2020.docx")</f>
        <v/>
      </c>
      <c r="X8">
        <f>HYPERLINK("https://klasma.github.io/Logging_OSTERSUND/tillsyn/A 47280-2020.docx")</f>
        <v/>
      </c>
      <c r="Y8">
        <f>HYPERLINK("https://klasma.github.io/Logging_OSTERSUND/tillsynsmail/A 47280-2020.docx")</f>
        <v/>
      </c>
    </row>
    <row r="9" ht="15" customHeight="1">
      <c r="A9" t="inlineStr">
        <is>
          <t>A 30683-2023</t>
        </is>
      </c>
      <c r="B9" s="1" t="n">
        <v>45112</v>
      </c>
      <c r="C9" s="1" t="n">
        <v>45177</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f>
        <v/>
      </c>
      <c r="T9">
        <f>HYPERLINK("https://klasma.github.io/Logging_OSTERSUND/kartor/A 30683-2023.png")</f>
        <v/>
      </c>
      <c r="V9">
        <f>HYPERLINK("https://klasma.github.io/Logging_OSTERSUND/klagomål/A 30683-2023.docx")</f>
        <v/>
      </c>
      <c r="W9">
        <f>HYPERLINK("https://klasma.github.io/Logging_OSTERSUND/klagomålsmail/A 30683-2023.docx")</f>
        <v/>
      </c>
      <c r="X9">
        <f>HYPERLINK("https://klasma.github.io/Logging_OSTERSUND/tillsyn/A 30683-2023.docx")</f>
        <v/>
      </c>
      <c r="Y9">
        <f>HYPERLINK("https://klasma.github.io/Logging_OSTERSUND/tillsynsmail/A 30683-2023.docx")</f>
        <v/>
      </c>
    </row>
    <row r="10" ht="15" customHeight="1">
      <c r="A10" t="inlineStr">
        <is>
          <t>A 39568-2022</t>
        </is>
      </c>
      <c r="B10" s="1" t="n">
        <v>44817</v>
      </c>
      <c r="C10" s="1" t="n">
        <v>45177</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f>
        <v/>
      </c>
      <c r="T10">
        <f>HYPERLINK("https://klasma.github.io/Logging_OSTERSUND/kartor/A 39568-2022.png")</f>
        <v/>
      </c>
      <c r="U10">
        <f>HYPERLINK("https://klasma.github.io/Logging_OSTERSUND/knärot/A 39568-2022.png")</f>
        <v/>
      </c>
      <c r="V10">
        <f>HYPERLINK("https://klasma.github.io/Logging_OSTERSUND/klagomål/A 39568-2022.docx")</f>
        <v/>
      </c>
      <c r="W10">
        <f>HYPERLINK("https://klasma.github.io/Logging_OSTERSUND/klagomålsmail/A 39568-2022.docx")</f>
        <v/>
      </c>
      <c r="X10">
        <f>HYPERLINK("https://klasma.github.io/Logging_OSTERSUND/tillsyn/A 39568-2022.docx")</f>
        <v/>
      </c>
      <c r="Y10">
        <f>HYPERLINK("https://klasma.github.io/Logging_OSTERSUND/tillsynsmail/A 39568-2022.docx")</f>
        <v/>
      </c>
    </row>
    <row r="11" ht="15" customHeight="1">
      <c r="A11" t="inlineStr">
        <is>
          <t>A 55075-2022</t>
        </is>
      </c>
      <c r="B11" s="1" t="n">
        <v>44886</v>
      </c>
      <c r="C11" s="1" t="n">
        <v>45177</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f>
        <v/>
      </c>
      <c r="T11">
        <f>HYPERLINK("https://klasma.github.io/Logging_OSTERSUND/kartor/A 55075-2022.png")</f>
        <v/>
      </c>
      <c r="U11">
        <f>HYPERLINK("https://klasma.github.io/Logging_OSTERSUND/knärot/A 55075-2022.png")</f>
        <v/>
      </c>
      <c r="V11">
        <f>HYPERLINK("https://klasma.github.io/Logging_OSTERSUND/klagomål/A 55075-2022.docx")</f>
        <v/>
      </c>
      <c r="W11">
        <f>HYPERLINK("https://klasma.github.io/Logging_OSTERSUND/klagomålsmail/A 55075-2022.docx")</f>
        <v/>
      </c>
      <c r="X11">
        <f>HYPERLINK("https://klasma.github.io/Logging_OSTERSUND/tillsyn/A 55075-2022.docx")</f>
        <v/>
      </c>
      <c r="Y11">
        <f>HYPERLINK("https://klasma.github.io/Logging_OSTERSUND/tillsynsmail/A 55075-2022.docx")</f>
        <v/>
      </c>
    </row>
    <row r="12" ht="15" customHeight="1">
      <c r="A12" t="inlineStr">
        <is>
          <t>A 47367-2022</t>
        </is>
      </c>
      <c r="B12" s="1" t="n">
        <v>44851</v>
      </c>
      <c r="C12" s="1" t="n">
        <v>45177</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f>
        <v/>
      </c>
      <c r="T12">
        <f>HYPERLINK("https://klasma.github.io/Logging_OSTERSUND/kartor/A 47367-2022.png")</f>
        <v/>
      </c>
      <c r="U12">
        <f>HYPERLINK("https://klasma.github.io/Logging_OSTERSUND/knärot/A 47367-2022.png")</f>
        <v/>
      </c>
      <c r="V12">
        <f>HYPERLINK("https://klasma.github.io/Logging_OSTERSUND/klagomål/A 47367-2022.docx")</f>
        <v/>
      </c>
      <c r="W12">
        <f>HYPERLINK("https://klasma.github.io/Logging_OSTERSUND/klagomålsmail/A 47367-2022.docx")</f>
        <v/>
      </c>
      <c r="X12">
        <f>HYPERLINK("https://klasma.github.io/Logging_OSTERSUND/tillsyn/A 47367-2022.docx")</f>
        <v/>
      </c>
      <c r="Y12">
        <f>HYPERLINK("https://klasma.github.io/Logging_OSTERSUND/tillsynsmail/A 47367-2022.docx")</f>
        <v/>
      </c>
    </row>
    <row r="13" ht="15" customHeight="1">
      <c r="A13" t="inlineStr">
        <is>
          <t>A 2979-2023</t>
        </is>
      </c>
      <c r="B13" s="1" t="n">
        <v>44945</v>
      </c>
      <c r="C13" s="1" t="n">
        <v>45177</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f>
        <v/>
      </c>
      <c r="T13">
        <f>HYPERLINK("https://klasma.github.io/Logging_OSTERSUND/kartor/A 2979-2023.png")</f>
        <v/>
      </c>
      <c r="U13">
        <f>HYPERLINK("https://klasma.github.io/Logging_OSTERSUND/knärot/A 2979-2023.png")</f>
        <v/>
      </c>
      <c r="V13">
        <f>HYPERLINK("https://klasma.github.io/Logging_OSTERSUND/klagomål/A 2979-2023.docx")</f>
        <v/>
      </c>
      <c r="W13">
        <f>HYPERLINK("https://klasma.github.io/Logging_OSTERSUND/klagomålsmail/A 2979-2023.docx")</f>
        <v/>
      </c>
      <c r="X13">
        <f>HYPERLINK("https://klasma.github.io/Logging_OSTERSUND/tillsyn/A 2979-2023.docx")</f>
        <v/>
      </c>
      <c r="Y13">
        <f>HYPERLINK("https://klasma.github.io/Logging_OSTERSUND/tillsynsmail/A 2979-2023.docx")</f>
        <v/>
      </c>
    </row>
    <row r="14" ht="15" customHeight="1">
      <c r="A14" t="inlineStr">
        <is>
          <t>A 12943-2022</t>
        </is>
      </c>
      <c r="B14" s="1" t="n">
        <v>44642</v>
      </c>
      <c r="C14" s="1" t="n">
        <v>45177</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f>
        <v/>
      </c>
      <c r="T14">
        <f>HYPERLINK("https://klasma.github.io/Logging_OSTERSUND/kartor/A 12943-2022.png")</f>
        <v/>
      </c>
      <c r="V14">
        <f>HYPERLINK("https://klasma.github.io/Logging_OSTERSUND/klagomål/A 12943-2022.docx")</f>
        <v/>
      </c>
      <c r="W14">
        <f>HYPERLINK("https://klasma.github.io/Logging_OSTERSUND/klagomålsmail/A 12943-2022.docx")</f>
        <v/>
      </c>
      <c r="X14">
        <f>HYPERLINK("https://klasma.github.io/Logging_OSTERSUND/tillsyn/A 12943-2022.docx")</f>
        <v/>
      </c>
      <c r="Y14">
        <f>HYPERLINK("https://klasma.github.io/Logging_OSTERSUND/tillsynsmail/A 12943-2022.docx")</f>
        <v/>
      </c>
    </row>
    <row r="15" ht="15" customHeight="1">
      <c r="A15" t="inlineStr">
        <is>
          <t>A 56241-2022</t>
        </is>
      </c>
      <c r="B15" s="1" t="n">
        <v>44890</v>
      </c>
      <c r="C15" s="1" t="n">
        <v>45177</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f>
        <v/>
      </c>
      <c r="T15">
        <f>HYPERLINK("https://klasma.github.io/Logging_OSTERSUND/kartor/A 56241-2022.png")</f>
        <v/>
      </c>
      <c r="U15">
        <f>HYPERLINK("https://klasma.github.io/Logging_OSTERSUND/knärot/A 56241-2022.png")</f>
        <v/>
      </c>
      <c r="V15">
        <f>HYPERLINK("https://klasma.github.io/Logging_OSTERSUND/klagomål/A 56241-2022.docx")</f>
        <v/>
      </c>
      <c r="W15">
        <f>HYPERLINK("https://klasma.github.io/Logging_OSTERSUND/klagomålsmail/A 56241-2022.docx")</f>
        <v/>
      </c>
      <c r="X15">
        <f>HYPERLINK("https://klasma.github.io/Logging_OSTERSUND/tillsyn/A 56241-2022.docx")</f>
        <v/>
      </c>
      <c r="Y15">
        <f>HYPERLINK("https://klasma.github.io/Logging_OSTERSUND/tillsynsmail/A 56241-2022.docx")</f>
        <v/>
      </c>
    </row>
    <row r="16" ht="15" customHeight="1">
      <c r="A16" t="inlineStr">
        <is>
          <t>A 49729-2020</t>
        </is>
      </c>
      <c r="B16" s="1" t="n">
        <v>44106</v>
      </c>
      <c r="C16" s="1" t="n">
        <v>45177</v>
      </c>
      <c r="D16" t="inlineStr">
        <is>
          <t>JÄMTLANDS LÄN</t>
        </is>
      </c>
      <c r="E16" t="inlineStr">
        <is>
          <t>ÖSTERSUND</t>
        </is>
      </c>
      <c r="G16" t="n">
        <v>12.4</v>
      </c>
      <c r="H16" t="n">
        <v>2</v>
      </c>
      <c r="I16" t="n">
        <v>3</v>
      </c>
      <c r="J16" t="n">
        <v>1</v>
      </c>
      <c r="K16" t="n">
        <v>4</v>
      </c>
      <c r="L16" t="n">
        <v>0</v>
      </c>
      <c r="M16" t="n">
        <v>0</v>
      </c>
      <c r="N16" t="n">
        <v>0</v>
      </c>
      <c r="O16" t="n">
        <v>5</v>
      </c>
      <c r="P16" t="n">
        <v>4</v>
      </c>
      <c r="Q16" t="n">
        <v>10</v>
      </c>
      <c r="R16" s="2" t="inlineStr">
        <is>
          <t>Kopparspindling
Läderdoftande fingersvamp
Stor odörspindling
Tvillingspindling
Persiljespindling
Kamjordstjärna
Kryddspindling
Strimspindling
Fläcknycklar
Nattviol</t>
        </is>
      </c>
      <c r="S16">
        <f>HYPERLINK("https://klasma.github.io/Logging_OSTERSUND/artfynd/A 49729-2020.xlsx")</f>
        <v/>
      </c>
      <c r="T16">
        <f>HYPERLINK("https://klasma.github.io/Logging_OSTERSUND/kartor/A 49729-2020.png")</f>
        <v/>
      </c>
      <c r="V16">
        <f>HYPERLINK("https://klasma.github.io/Logging_OSTERSUND/klagomål/A 49729-2020.docx")</f>
        <v/>
      </c>
      <c r="W16">
        <f>HYPERLINK("https://klasma.github.io/Logging_OSTERSUND/klagomålsmail/A 49729-2020.docx")</f>
        <v/>
      </c>
      <c r="X16">
        <f>HYPERLINK("https://klasma.github.io/Logging_OSTERSUND/tillsyn/A 49729-2020.docx")</f>
        <v/>
      </c>
      <c r="Y16">
        <f>HYPERLINK("https://klasma.github.io/Logging_OSTERSUND/tillsynsmail/A 49729-2020.docx")</f>
        <v/>
      </c>
    </row>
    <row r="17" ht="15" customHeight="1">
      <c r="A17" t="inlineStr">
        <is>
          <t>A 30201-2023</t>
        </is>
      </c>
      <c r="B17" s="1" t="n">
        <v>45099</v>
      </c>
      <c r="C17" s="1" t="n">
        <v>45177</v>
      </c>
      <c r="D17" t="inlineStr">
        <is>
          <t>JÄMTLANDS LÄN</t>
        </is>
      </c>
      <c r="E17" t="inlineStr">
        <is>
          <t>ÖSTERSUND</t>
        </is>
      </c>
      <c r="G17" t="n">
        <v>6.5</v>
      </c>
      <c r="H17" t="n">
        <v>3</v>
      </c>
      <c r="I17" t="n">
        <v>7</v>
      </c>
      <c r="J17" t="n">
        <v>1</v>
      </c>
      <c r="K17" t="n">
        <v>0</v>
      </c>
      <c r="L17" t="n">
        <v>1</v>
      </c>
      <c r="M17" t="n">
        <v>0</v>
      </c>
      <c r="N17" t="n">
        <v>0</v>
      </c>
      <c r="O17" t="n">
        <v>2</v>
      </c>
      <c r="P17" t="n">
        <v>1</v>
      </c>
      <c r="Q17" t="n">
        <v>10</v>
      </c>
      <c r="R17" s="2" t="inlineStr">
        <is>
          <t>Trolldruvemätare
Granticka
Guckusko
Kransrams
Svart trolldruva
Tibast
Tvåblad
Underviol
Vårärt
Blåsippa</t>
        </is>
      </c>
      <c r="S17">
        <f>HYPERLINK("https://klasma.github.io/Logging_OSTERSUND/artfynd/A 30201-2023.xlsx")</f>
        <v/>
      </c>
      <c r="T17">
        <f>HYPERLINK("https://klasma.github.io/Logging_OSTERSUND/kartor/A 30201-2023.png")</f>
        <v/>
      </c>
      <c r="V17">
        <f>HYPERLINK("https://klasma.github.io/Logging_OSTERSUND/klagomål/A 30201-2023.docx")</f>
        <v/>
      </c>
      <c r="W17">
        <f>HYPERLINK("https://klasma.github.io/Logging_OSTERSUND/klagomålsmail/A 30201-2023.docx")</f>
        <v/>
      </c>
      <c r="X17">
        <f>HYPERLINK("https://klasma.github.io/Logging_OSTERSUND/tillsyn/A 30201-2023.docx")</f>
        <v/>
      </c>
      <c r="Y17">
        <f>HYPERLINK("https://klasma.github.io/Logging_OSTERSUND/tillsynsmail/A 30201-2023.docx")</f>
        <v/>
      </c>
    </row>
    <row r="18" ht="15" customHeight="1">
      <c r="A18" t="inlineStr">
        <is>
          <t>A 46584-2019</t>
        </is>
      </c>
      <c r="B18" s="1" t="n">
        <v>43719</v>
      </c>
      <c r="C18" s="1" t="n">
        <v>45177</v>
      </c>
      <c r="D18" t="inlineStr">
        <is>
          <t>JÄMTLANDS LÄN</t>
        </is>
      </c>
      <c r="E18" t="inlineStr">
        <is>
          <t>ÖSTERSUND</t>
        </is>
      </c>
      <c r="G18" t="n">
        <v>10.1</v>
      </c>
      <c r="H18" t="n">
        <v>1</v>
      </c>
      <c r="I18" t="n">
        <v>1</v>
      </c>
      <c r="J18" t="n">
        <v>6</v>
      </c>
      <c r="K18" t="n">
        <v>1</v>
      </c>
      <c r="L18" t="n">
        <v>0</v>
      </c>
      <c r="M18" t="n">
        <v>0</v>
      </c>
      <c r="N18" t="n">
        <v>0</v>
      </c>
      <c r="O18" t="n">
        <v>7</v>
      </c>
      <c r="P18" t="n">
        <v>1</v>
      </c>
      <c r="Q18" t="n">
        <v>9</v>
      </c>
      <c r="R18" s="2" t="inlineStr">
        <is>
          <t>Rynkskinn
Doftskinn
Garnlav
Granticka
Lunglav
Ullticka
Vitgrynig nållav
Underviol
Blåsippa</t>
        </is>
      </c>
      <c r="S18">
        <f>HYPERLINK("https://klasma.github.io/Logging_OSTERSUND/artfynd/A 46584-2019.xlsx")</f>
        <v/>
      </c>
      <c r="T18">
        <f>HYPERLINK("https://klasma.github.io/Logging_OSTERSUND/kartor/A 46584-2019.png")</f>
        <v/>
      </c>
      <c r="V18">
        <f>HYPERLINK("https://klasma.github.io/Logging_OSTERSUND/klagomål/A 46584-2019.docx")</f>
        <v/>
      </c>
      <c r="W18">
        <f>HYPERLINK("https://klasma.github.io/Logging_OSTERSUND/klagomålsmail/A 46584-2019.docx")</f>
        <v/>
      </c>
      <c r="X18">
        <f>HYPERLINK("https://klasma.github.io/Logging_OSTERSUND/tillsyn/A 46584-2019.docx")</f>
        <v/>
      </c>
      <c r="Y18">
        <f>HYPERLINK("https://klasma.github.io/Logging_OSTERSUND/tillsynsmail/A 46584-2019.docx")</f>
        <v/>
      </c>
    </row>
    <row r="19" ht="15" customHeight="1">
      <c r="A19" t="inlineStr">
        <is>
          <t>A 21511-2022</t>
        </is>
      </c>
      <c r="B19" s="1" t="n">
        <v>44706</v>
      </c>
      <c r="C19" s="1" t="n">
        <v>45177</v>
      </c>
      <c r="D19" t="inlineStr">
        <is>
          <t>JÄMTLANDS LÄN</t>
        </is>
      </c>
      <c r="E19" t="inlineStr">
        <is>
          <t>ÖSTERSUND</t>
        </is>
      </c>
      <c r="G19" t="n">
        <v>24.7</v>
      </c>
      <c r="H19" t="n">
        <v>3</v>
      </c>
      <c r="I19" t="n">
        <v>2</v>
      </c>
      <c r="J19" t="n">
        <v>6</v>
      </c>
      <c r="K19" t="n">
        <v>1</v>
      </c>
      <c r="L19" t="n">
        <v>0</v>
      </c>
      <c r="M19" t="n">
        <v>0</v>
      </c>
      <c r="N19" t="n">
        <v>0</v>
      </c>
      <c r="O19" t="n">
        <v>7</v>
      </c>
      <c r="P19" t="n">
        <v>1</v>
      </c>
      <c r="Q19" t="n">
        <v>9</v>
      </c>
      <c r="R19" s="2" t="inlineStr">
        <is>
          <t>Knärot
Garnlav
Granticka
Lunglav
Rosenticka
Tretåig hackspett
Ullticka
Spindelblomster
Vedticka</t>
        </is>
      </c>
      <c r="S19">
        <f>HYPERLINK("https://klasma.github.io/Logging_OSTERSUND/artfynd/A 21511-2022.xlsx")</f>
        <v/>
      </c>
      <c r="T19">
        <f>HYPERLINK("https://klasma.github.io/Logging_OSTERSUND/kartor/A 21511-2022.png")</f>
        <v/>
      </c>
      <c r="U19">
        <f>HYPERLINK("https://klasma.github.io/Logging_OSTERSUND/knärot/A 21511-2022.png")</f>
        <v/>
      </c>
      <c r="V19">
        <f>HYPERLINK("https://klasma.github.io/Logging_OSTERSUND/klagomål/A 21511-2022.docx")</f>
        <v/>
      </c>
      <c r="W19">
        <f>HYPERLINK("https://klasma.github.io/Logging_OSTERSUND/klagomålsmail/A 21511-2022.docx")</f>
        <v/>
      </c>
      <c r="X19">
        <f>HYPERLINK("https://klasma.github.io/Logging_OSTERSUND/tillsyn/A 21511-2022.docx")</f>
        <v/>
      </c>
      <c r="Y19">
        <f>HYPERLINK("https://klasma.github.io/Logging_OSTERSUND/tillsynsmail/A 21511-2022.docx")</f>
        <v/>
      </c>
    </row>
    <row r="20" ht="15" customHeight="1">
      <c r="A20" t="inlineStr">
        <is>
          <t>A 2237-2022</t>
        </is>
      </c>
      <c r="B20" s="1" t="n">
        <v>44578</v>
      </c>
      <c r="C20" s="1" t="n">
        <v>45177</v>
      </c>
      <c r="D20" t="inlineStr">
        <is>
          <t>JÄMTLANDS LÄN</t>
        </is>
      </c>
      <c r="E20" t="inlineStr">
        <is>
          <t>ÖSTERSUND</t>
        </is>
      </c>
      <c r="G20" t="n">
        <v>13.5</v>
      </c>
      <c r="H20" t="n">
        <v>1</v>
      </c>
      <c r="I20" t="n">
        <v>3</v>
      </c>
      <c r="J20" t="n">
        <v>3</v>
      </c>
      <c r="K20" t="n">
        <v>2</v>
      </c>
      <c r="L20" t="n">
        <v>0</v>
      </c>
      <c r="M20" t="n">
        <v>0</v>
      </c>
      <c r="N20" t="n">
        <v>0</v>
      </c>
      <c r="O20" t="n">
        <v>5</v>
      </c>
      <c r="P20" t="n">
        <v>2</v>
      </c>
      <c r="Q20" t="n">
        <v>8</v>
      </c>
      <c r="R20" s="2" t="inlineStr">
        <is>
          <t>Bitter taggsvamp
Doftticka
Garnlav
Lunglav
Orange taggsvamp
Fjällig taggsvamp s.str.
Luddlav
Stuplav</t>
        </is>
      </c>
      <c r="S20">
        <f>HYPERLINK("https://klasma.github.io/Logging_OSTERSUND/artfynd/A 2237-2022.xlsx")</f>
        <v/>
      </c>
      <c r="T20">
        <f>HYPERLINK("https://klasma.github.io/Logging_OSTERSUND/kartor/A 2237-2022.png")</f>
        <v/>
      </c>
      <c r="V20">
        <f>HYPERLINK("https://klasma.github.io/Logging_OSTERSUND/klagomål/A 2237-2022.docx")</f>
        <v/>
      </c>
      <c r="W20">
        <f>HYPERLINK("https://klasma.github.io/Logging_OSTERSUND/klagomålsmail/A 2237-2022.docx")</f>
        <v/>
      </c>
      <c r="X20">
        <f>HYPERLINK("https://klasma.github.io/Logging_OSTERSUND/tillsyn/A 2237-2022.docx")</f>
        <v/>
      </c>
      <c r="Y20">
        <f>HYPERLINK("https://klasma.github.io/Logging_OSTERSUND/tillsynsmail/A 2237-2022.docx")</f>
        <v/>
      </c>
    </row>
    <row r="21" ht="15" customHeight="1">
      <c r="A21" t="inlineStr">
        <is>
          <t>A 20976-2022</t>
        </is>
      </c>
      <c r="B21" s="1" t="n">
        <v>44701</v>
      </c>
      <c r="C21" s="1" t="n">
        <v>45177</v>
      </c>
      <c r="D21" t="inlineStr">
        <is>
          <t>JÄMTLANDS LÄN</t>
        </is>
      </c>
      <c r="E21" t="inlineStr">
        <is>
          <t>ÖSTERSUND</t>
        </is>
      </c>
      <c r="G21" t="n">
        <v>16.3</v>
      </c>
      <c r="H21" t="n">
        <v>3</v>
      </c>
      <c r="I21" t="n">
        <v>7</v>
      </c>
      <c r="J21" t="n">
        <v>0</v>
      </c>
      <c r="K21" t="n">
        <v>0</v>
      </c>
      <c r="L21" t="n">
        <v>0</v>
      </c>
      <c r="M21" t="n">
        <v>0</v>
      </c>
      <c r="N21" t="n">
        <v>0</v>
      </c>
      <c r="O21" t="n">
        <v>0</v>
      </c>
      <c r="P21" t="n">
        <v>0</v>
      </c>
      <c r="Q21" t="n">
        <v>8</v>
      </c>
      <c r="R21" s="2" t="inlineStr">
        <is>
          <t>Finbräken
Grönkulla
Kransrams
Tibast
Trådfräken
Tvåblad
Underviol
Blåsippa</t>
        </is>
      </c>
      <c r="S21">
        <f>HYPERLINK("https://klasma.github.io/Logging_OSTERSUND/artfynd/A 20976-2022.xlsx")</f>
        <v/>
      </c>
      <c r="T21">
        <f>HYPERLINK("https://klasma.github.io/Logging_OSTERSUND/kartor/A 20976-2022.png")</f>
        <v/>
      </c>
      <c r="V21">
        <f>HYPERLINK("https://klasma.github.io/Logging_OSTERSUND/klagomål/A 20976-2022.docx")</f>
        <v/>
      </c>
      <c r="W21">
        <f>HYPERLINK("https://klasma.github.io/Logging_OSTERSUND/klagomålsmail/A 20976-2022.docx")</f>
        <v/>
      </c>
      <c r="X21">
        <f>HYPERLINK("https://klasma.github.io/Logging_OSTERSUND/tillsyn/A 20976-2022.docx")</f>
        <v/>
      </c>
      <c r="Y21">
        <f>HYPERLINK("https://klasma.github.io/Logging_OSTERSUND/tillsynsmail/A 20976-2022.docx")</f>
        <v/>
      </c>
    </row>
    <row r="22" ht="15" customHeight="1">
      <c r="A22" t="inlineStr">
        <is>
          <t>A 21753-2023</t>
        </is>
      </c>
      <c r="B22" s="1" t="n">
        <v>45063</v>
      </c>
      <c r="C22" s="1" t="n">
        <v>45177</v>
      </c>
      <c r="D22" t="inlineStr">
        <is>
          <t>JÄMTLANDS LÄN</t>
        </is>
      </c>
      <c r="E22" t="inlineStr">
        <is>
          <t>ÖSTERSUND</t>
        </is>
      </c>
      <c r="G22" t="n">
        <v>6.1</v>
      </c>
      <c r="H22" t="n">
        <v>4</v>
      </c>
      <c r="I22" t="n">
        <v>2</v>
      </c>
      <c r="J22" t="n">
        <v>3</v>
      </c>
      <c r="K22" t="n">
        <v>1</v>
      </c>
      <c r="L22" t="n">
        <v>0</v>
      </c>
      <c r="M22" t="n">
        <v>0</v>
      </c>
      <c r="N22" t="n">
        <v>0</v>
      </c>
      <c r="O22" t="n">
        <v>4</v>
      </c>
      <c r="P22" t="n">
        <v>1</v>
      </c>
      <c r="Q22" t="n">
        <v>8</v>
      </c>
      <c r="R22" s="2" t="inlineStr">
        <is>
          <t>Knärot
Flattoppad klubbsvamp
Rosenticka
Ullticka
Rödgul trumpetsvamp
Spindelblomster
Fläcknycklar
Blåsippa</t>
        </is>
      </c>
      <c r="S22">
        <f>HYPERLINK("https://klasma.github.io/Logging_OSTERSUND/artfynd/A 21753-2023.xlsx")</f>
        <v/>
      </c>
      <c r="T22">
        <f>HYPERLINK("https://klasma.github.io/Logging_OSTERSUND/kartor/A 21753-2023.png")</f>
        <v/>
      </c>
      <c r="U22">
        <f>HYPERLINK("https://klasma.github.io/Logging_OSTERSUND/knärot/A 21753-2023.png")</f>
        <v/>
      </c>
      <c r="V22">
        <f>HYPERLINK("https://klasma.github.io/Logging_OSTERSUND/klagomål/A 21753-2023.docx")</f>
        <v/>
      </c>
      <c r="W22">
        <f>HYPERLINK("https://klasma.github.io/Logging_OSTERSUND/klagomålsmail/A 21753-2023.docx")</f>
        <v/>
      </c>
      <c r="X22">
        <f>HYPERLINK("https://klasma.github.io/Logging_OSTERSUND/tillsyn/A 21753-2023.docx")</f>
        <v/>
      </c>
      <c r="Y22">
        <f>HYPERLINK("https://klasma.github.io/Logging_OSTERSUND/tillsynsmail/A 21753-2023.docx")</f>
        <v/>
      </c>
    </row>
    <row r="23" ht="15" customHeight="1">
      <c r="A23" t="inlineStr">
        <is>
          <t>A 32699-2023</t>
        </is>
      </c>
      <c r="B23" s="1" t="n">
        <v>45121</v>
      </c>
      <c r="C23" s="1" t="n">
        <v>45177</v>
      </c>
      <c r="D23" t="inlineStr">
        <is>
          <t>JÄMTLANDS LÄN</t>
        </is>
      </c>
      <c r="E23" t="inlineStr">
        <is>
          <t>ÖSTERSUND</t>
        </is>
      </c>
      <c r="F23" t="inlineStr">
        <is>
          <t>Övriga Aktiebolag</t>
        </is>
      </c>
      <c r="G23" t="n">
        <v>7.2</v>
      </c>
      <c r="H23" t="n">
        <v>4</v>
      </c>
      <c r="I23" t="n">
        <v>3</v>
      </c>
      <c r="J23" t="n">
        <v>2</v>
      </c>
      <c r="K23" t="n">
        <v>1</v>
      </c>
      <c r="L23" t="n">
        <v>0</v>
      </c>
      <c r="M23" t="n">
        <v>0</v>
      </c>
      <c r="N23" t="n">
        <v>0</v>
      </c>
      <c r="O23" t="n">
        <v>3</v>
      </c>
      <c r="P23" t="n">
        <v>1</v>
      </c>
      <c r="Q23" t="n">
        <v>8</v>
      </c>
      <c r="R23" s="2" t="inlineStr">
        <is>
          <t>Knärot
Garnlav
Granticka
Norrlandslav
Spindelblomster
Trådticka
Blåsippa
Revlummer</t>
        </is>
      </c>
      <c r="S23">
        <f>HYPERLINK("https://klasma.github.io/Logging_OSTERSUND/artfynd/A 32699-2023.xlsx")</f>
        <v/>
      </c>
      <c r="T23">
        <f>HYPERLINK("https://klasma.github.io/Logging_OSTERSUND/kartor/A 32699-2023.png")</f>
        <v/>
      </c>
      <c r="U23">
        <f>HYPERLINK("https://klasma.github.io/Logging_OSTERSUND/knärot/A 32699-2023.png")</f>
        <v/>
      </c>
      <c r="V23">
        <f>HYPERLINK("https://klasma.github.io/Logging_OSTERSUND/klagomål/A 32699-2023.docx")</f>
        <v/>
      </c>
      <c r="W23">
        <f>HYPERLINK("https://klasma.github.io/Logging_OSTERSUND/klagomålsmail/A 32699-2023.docx")</f>
        <v/>
      </c>
      <c r="X23">
        <f>HYPERLINK("https://klasma.github.io/Logging_OSTERSUND/tillsyn/A 32699-2023.docx")</f>
        <v/>
      </c>
      <c r="Y23">
        <f>HYPERLINK("https://klasma.github.io/Logging_OSTERSUND/tillsynsmail/A 32699-2023.docx")</f>
        <v/>
      </c>
    </row>
    <row r="24" ht="15" customHeight="1">
      <c r="A24" t="inlineStr">
        <is>
          <t>A 50716-2018</t>
        </is>
      </c>
      <c r="B24" s="1" t="n">
        <v>43381</v>
      </c>
      <c r="C24" s="1" t="n">
        <v>45177</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f>
        <v/>
      </c>
      <c r="T24">
        <f>HYPERLINK("https://klasma.github.io/Logging_OSTERSUND/kartor/A 50716-2018.png")</f>
        <v/>
      </c>
      <c r="V24">
        <f>HYPERLINK("https://klasma.github.io/Logging_OSTERSUND/klagomål/A 50716-2018.docx")</f>
        <v/>
      </c>
      <c r="W24">
        <f>HYPERLINK("https://klasma.github.io/Logging_OSTERSUND/klagomålsmail/A 50716-2018.docx")</f>
        <v/>
      </c>
      <c r="X24">
        <f>HYPERLINK("https://klasma.github.io/Logging_OSTERSUND/tillsyn/A 50716-2018.docx")</f>
        <v/>
      </c>
      <c r="Y24">
        <f>HYPERLINK("https://klasma.github.io/Logging_OSTERSUND/tillsynsmail/A 50716-2018.docx")</f>
        <v/>
      </c>
    </row>
    <row r="25" ht="15" customHeight="1">
      <c r="A25" t="inlineStr">
        <is>
          <t>A 8023-2019</t>
        </is>
      </c>
      <c r="B25" s="1" t="n">
        <v>43501</v>
      </c>
      <c r="C25" s="1" t="n">
        <v>45177</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f>
        <v/>
      </c>
      <c r="T25">
        <f>HYPERLINK("https://klasma.github.io/Logging_OSTERSUND/kartor/A 8023-2019.png")</f>
        <v/>
      </c>
      <c r="U25">
        <f>HYPERLINK("https://klasma.github.io/Logging_OSTERSUND/knärot/A 8023-2019.png")</f>
        <v/>
      </c>
      <c r="V25">
        <f>HYPERLINK("https://klasma.github.io/Logging_OSTERSUND/klagomål/A 8023-2019.docx")</f>
        <v/>
      </c>
      <c r="W25">
        <f>HYPERLINK("https://klasma.github.io/Logging_OSTERSUND/klagomålsmail/A 8023-2019.docx")</f>
        <v/>
      </c>
      <c r="X25">
        <f>HYPERLINK("https://klasma.github.io/Logging_OSTERSUND/tillsyn/A 8023-2019.docx")</f>
        <v/>
      </c>
      <c r="Y25">
        <f>HYPERLINK("https://klasma.github.io/Logging_OSTERSUND/tillsynsmail/A 8023-2019.docx")</f>
        <v/>
      </c>
    </row>
    <row r="26" ht="15" customHeight="1">
      <c r="A26" t="inlineStr">
        <is>
          <t>A 65938-2021</t>
        </is>
      </c>
      <c r="B26" s="1" t="n">
        <v>44517</v>
      </c>
      <c r="C26" s="1" t="n">
        <v>45177</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f>
        <v/>
      </c>
      <c r="T26">
        <f>HYPERLINK("https://klasma.github.io/Logging_OSTERSUND/kartor/A 65938-2021.png")</f>
        <v/>
      </c>
      <c r="U26">
        <f>HYPERLINK("https://klasma.github.io/Logging_OSTERSUND/knärot/A 65938-2021.png")</f>
        <v/>
      </c>
      <c r="V26">
        <f>HYPERLINK("https://klasma.github.io/Logging_OSTERSUND/klagomål/A 65938-2021.docx")</f>
        <v/>
      </c>
      <c r="W26">
        <f>HYPERLINK("https://klasma.github.io/Logging_OSTERSUND/klagomålsmail/A 65938-2021.docx")</f>
        <v/>
      </c>
      <c r="X26">
        <f>HYPERLINK("https://klasma.github.io/Logging_OSTERSUND/tillsyn/A 65938-2021.docx")</f>
        <v/>
      </c>
      <c r="Y26">
        <f>HYPERLINK("https://klasma.github.io/Logging_OSTERSUND/tillsynsmail/A 65938-2021.docx")</f>
        <v/>
      </c>
    </row>
    <row r="27" ht="15" customHeight="1">
      <c r="A27" t="inlineStr">
        <is>
          <t>A 3341-2023</t>
        </is>
      </c>
      <c r="B27" s="1" t="n">
        <v>44945</v>
      </c>
      <c r="C27" s="1" t="n">
        <v>45177</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f>
        <v/>
      </c>
      <c r="T27">
        <f>HYPERLINK("https://klasma.github.io/Logging_OSTERSUND/kartor/A 3341-2023.png")</f>
        <v/>
      </c>
      <c r="V27">
        <f>HYPERLINK("https://klasma.github.io/Logging_OSTERSUND/klagomål/A 3341-2023.docx")</f>
        <v/>
      </c>
      <c r="W27">
        <f>HYPERLINK("https://klasma.github.io/Logging_OSTERSUND/klagomålsmail/A 3341-2023.docx")</f>
        <v/>
      </c>
      <c r="X27">
        <f>HYPERLINK("https://klasma.github.io/Logging_OSTERSUND/tillsyn/A 3341-2023.docx")</f>
        <v/>
      </c>
      <c r="Y27">
        <f>HYPERLINK("https://klasma.github.io/Logging_OSTERSUND/tillsynsmail/A 3341-2023.docx")</f>
        <v/>
      </c>
    </row>
    <row r="28" ht="15" customHeight="1">
      <c r="A28" t="inlineStr">
        <is>
          <t>A 8120-2023</t>
        </is>
      </c>
      <c r="B28" s="1" t="n">
        <v>44970</v>
      </c>
      <c r="C28" s="1" t="n">
        <v>45177</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f>
        <v/>
      </c>
      <c r="T28">
        <f>HYPERLINK("https://klasma.github.io/Logging_OSTERSUND/kartor/A 8120-2023.png")</f>
        <v/>
      </c>
      <c r="U28">
        <f>HYPERLINK("https://klasma.github.io/Logging_OSTERSUND/knärot/A 8120-2023.png")</f>
        <v/>
      </c>
      <c r="V28">
        <f>HYPERLINK("https://klasma.github.io/Logging_OSTERSUND/klagomål/A 8120-2023.docx")</f>
        <v/>
      </c>
      <c r="W28">
        <f>HYPERLINK("https://klasma.github.io/Logging_OSTERSUND/klagomålsmail/A 8120-2023.docx")</f>
        <v/>
      </c>
      <c r="X28">
        <f>HYPERLINK("https://klasma.github.io/Logging_OSTERSUND/tillsyn/A 8120-2023.docx")</f>
        <v/>
      </c>
      <c r="Y28">
        <f>HYPERLINK("https://klasma.github.io/Logging_OSTERSUND/tillsynsmail/A 8120-2023.docx")</f>
        <v/>
      </c>
    </row>
    <row r="29" ht="15" customHeight="1">
      <c r="A29" t="inlineStr">
        <is>
          <t>A 16369-2023</t>
        </is>
      </c>
      <c r="B29" s="1" t="n">
        <v>45028</v>
      </c>
      <c r="C29" s="1" t="n">
        <v>45177</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f>
        <v/>
      </c>
      <c r="T29">
        <f>HYPERLINK("https://klasma.github.io/Logging_OSTERSUND/kartor/A 16369-2023.png")</f>
        <v/>
      </c>
      <c r="V29">
        <f>HYPERLINK("https://klasma.github.io/Logging_OSTERSUND/klagomål/A 16369-2023.docx")</f>
        <v/>
      </c>
      <c r="W29">
        <f>HYPERLINK("https://klasma.github.io/Logging_OSTERSUND/klagomålsmail/A 16369-2023.docx")</f>
        <v/>
      </c>
      <c r="X29">
        <f>HYPERLINK("https://klasma.github.io/Logging_OSTERSUND/tillsyn/A 16369-2023.docx")</f>
        <v/>
      </c>
      <c r="Y29">
        <f>HYPERLINK("https://klasma.github.io/Logging_OSTERSUND/tillsynsmail/A 16369-2023.docx")</f>
        <v/>
      </c>
    </row>
    <row r="30" ht="15" customHeight="1">
      <c r="A30" t="inlineStr">
        <is>
          <t>A 24523-2021</t>
        </is>
      </c>
      <c r="B30" s="1" t="n">
        <v>44337</v>
      </c>
      <c r="C30" s="1" t="n">
        <v>45177</v>
      </c>
      <c r="D30" t="inlineStr">
        <is>
          <t>JÄMTLANDS LÄN</t>
        </is>
      </c>
      <c r="E30" t="inlineStr">
        <is>
          <t>ÖSTERSUND</t>
        </is>
      </c>
      <c r="G30" t="n">
        <v>9.300000000000001</v>
      </c>
      <c r="H30" t="n">
        <v>2</v>
      </c>
      <c r="I30" t="n">
        <v>3</v>
      </c>
      <c r="J30" t="n">
        <v>2</v>
      </c>
      <c r="K30" t="n">
        <v>0</v>
      </c>
      <c r="L30" t="n">
        <v>0</v>
      </c>
      <c r="M30" t="n">
        <v>0</v>
      </c>
      <c r="N30" t="n">
        <v>0</v>
      </c>
      <c r="O30" t="n">
        <v>2</v>
      </c>
      <c r="P30" t="n">
        <v>0</v>
      </c>
      <c r="Q30" t="n">
        <v>6</v>
      </c>
      <c r="R30" s="2" t="inlineStr">
        <is>
          <t>Garnlav
Spillkråka
Svart trolldruva
Tibast
Underviol
Blåsippa</t>
        </is>
      </c>
      <c r="S30">
        <f>HYPERLINK("https://klasma.github.io/Logging_OSTERSUND/artfynd/A 24523-2021.xlsx")</f>
        <v/>
      </c>
      <c r="T30">
        <f>HYPERLINK("https://klasma.github.io/Logging_OSTERSUND/kartor/A 24523-2021.png")</f>
        <v/>
      </c>
      <c r="V30">
        <f>HYPERLINK("https://klasma.github.io/Logging_OSTERSUND/klagomål/A 24523-2021.docx")</f>
        <v/>
      </c>
      <c r="W30">
        <f>HYPERLINK("https://klasma.github.io/Logging_OSTERSUND/klagomålsmail/A 24523-2021.docx")</f>
        <v/>
      </c>
      <c r="X30">
        <f>HYPERLINK("https://klasma.github.io/Logging_OSTERSUND/tillsyn/A 24523-2021.docx")</f>
        <v/>
      </c>
      <c r="Y30">
        <f>HYPERLINK("https://klasma.github.io/Logging_OSTERSUND/tillsynsmail/A 24523-2021.docx")</f>
        <v/>
      </c>
    </row>
    <row r="31" ht="15" customHeight="1">
      <c r="A31" t="inlineStr">
        <is>
          <t>A 28512-2021</t>
        </is>
      </c>
      <c r="B31" s="1" t="n">
        <v>44356</v>
      </c>
      <c r="C31" s="1" t="n">
        <v>45177</v>
      </c>
      <c r="D31" t="inlineStr">
        <is>
          <t>JÄMTLANDS LÄN</t>
        </is>
      </c>
      <c r="E31" t="inlineStr">
        <is>
          <t>ÖSTERSUND</t>
        </is>
      </c>
      <c r="G31" t="n">
        <v>1.5</v>
      </c>
      <c r="H31" t="n">
        <v>2</v>
      </c>
      <c r="I31" t="n">
        <v>1</v>
      </c>
      <c r="J31" t="n">
        <v>5</v>
      </c>
      <c r="K31" t="n">
        <v>0</v>
      </c>
      <c r="L31" t="n">
        <v>0</v>
      </c>
      <c r="M31" t="n">
        <v>0</v>
      </c>
      <c r="N31" t="n">
        <v>0</v>
      </c>
      <c r="O31" t="n">
        <v>5</v>
      </c>
      <c r="P31" t="n">
        <v>0</v>
      </c>
      <c r="Q31" t="n">
        <v>6</v>
      </c>
      <c r="R31" s="2" t="inlineStr">
        <is>
          <t>Garnlav
Lunglav
Skrovellav
Talltita
Tretåig hackspett
Luddlav</t>
        </is>
      </c>
      <c r="S31">
        <f>HYPERLINK("https://klasma.github.io/Logging_OSTERSUND/artfynd/A 28512-2021.xlsx")</f>
        <v/>
      </c>
      <c r="T31">
        <f>HYPERLINK("https://klasma.github.io/Logging_OSTERSUND/kartor/A 28512-2021.png")</f>
        <v/>
      </c>
      <c r="U31">
        <f>HYPERLINK("https://klasma.github.io/Logging_OSTERSUND/knärot/A 28512-2021.png")</f>
        <v/>
      </c>
      <c r="V31">
        <f>HYPERLINK("https://klasma.github.io/Logging_OSTERSUND/klagomål/A 28512-2021.docx")</f>
        <v/>
      </c>
      <c r="W31">
        <f>HYPERLINK("https://klasma.github.io/Logging_OSTERSUND/klagomålsmail/A 28512-2021.docx")</f>
        <v/>
      </c>
      <c r="X31">
        <f>HYPERLINK("https://klasma.github.io/Logging_OSTERSUND/tillsyn/A 28512-2021.docx")</f>
        <v/>
      </c>
      <c r="Y31">
        <f>HYPERLINK("https://klasma.github.io/Logging_OSTERSUND/tillsynsmail/A 28512-2021.docx")</f>
        <v/>
      </c>
    </row>
    <row r="32" ht="15" customHeight="1">
      <c r="A32" t="inlineStr">
        <is>
          <t>A 376-2023</t>
        </is>
      </c>
      <c r="B32" s="1" t="n">
        <v>44929</v>
      </c>
      <c r="C32" s="1" t="n">
        <v>45177</v>
      </c>
      <c r="D32" t="inlineStr">
        <is>
          <t>JÄMTLANDS LÄN</t>
        </is>
      </c>
      <c r="E32" t="inlineStr">
        <is>
          <t>ÖSTERSUND</t>
        </is>
      </c>
      <c r="G32" t="n">
        <v>11.5</v>
      </c>
      <c r="H32" t="n">
        <v>2</v>
      </c>
      <c r="I32" t="n">
        <v>1</v>
      </c>
      <c r="J32" t="n">
        <v>5</v>
      </c>
      <c r="K32" t="n">
        <v>0</v>
      </c>
      <c r="L32" t="n">
        <v>0</v>
      </c>
      <c r="M32" t="n">
        <v>0</v>
      </c>
      <c r="N32" t="n">
        <v>0</v>
      </c>
      <c r="O32" t="n">
        <v>5</v>
      </c>
      <c r="P32" t="n">
        <v>0</v>
      </c>
      <c r="Q32" t="n">
        <v>6</v>
      </c>
      <c r="R32" s="2" t="inlineStr">
        <is>
          <t>Garnlav
Lunglav
Skrovellav
Spillkråka
Tretåig hackspett
Stuplav</t>
        </is>
      </c>
      <c r="S32">
        <f>HYPERLINK("https://klasma.github.io/Logging_OSTERSUND/artfynd/A 376-2023.xlsx")</f>
        <v/>
      </c>
      <c r="T32">
        <f>HYPERLINK("https://klasma.github.io/Logging_OSTERSUND/kartor/A 376-2023.png")</f>
        <v/>
      </c>
      <c r="V32">
        <f>HYPERLINK("https://klasma.github.io/Logging_OSTERSUND/klagomål/A 376-2023.docx")</f>
        <v/>
      </c>
      <c r="W32">
        <f>HYPERLINK("https://klasma.github.io/Logging_OSTERSUND/klagomålsmail/A 376-2023.docx")</f>
        <v/>
      </c>
      <c r="X32">
        <f>HYPERLINK("https://klasma.github.io/Logging_OSTERSUND/tillsyn/A 376-2023.docx")</f>
        <v/>
      </c>
      <c r="Y32">
        <f>HYPERLINK("https://klasma.github.io/Logging_OSTERSUND/tillsynsmail/A 376-2023.docx")</f>
        <v/>
      </c>
    </row>
    <row r="33" ht="15" customHeight="1">
      <c r="A33" t="inlineStr">
        <is>
          <t>A 27577-2022</t>
        </is>
      </c>
      <c r="B33" s="1" t="n">
        <v>44742</v>
      </c>
      <c r="C33" s="1" t="n">
        <v>45177</v>
      </c>
      <c r="D33" t="inlineStr">
        <is>
          <t>JÄMTLANDS LÄN</t>
        </is>
      </c>
      <c r="E33" t="inlineStr">
        <is>
          <t>ÖSTERSUND</t>
        </is>
      </c>
      <c r="F33" t="inlineStr">
        <is>
          <t>SCA</t>
        </is>
      </c>
      <c r="G33" t="n">
        <v>12</v>
      </c>
      <c r="H33" t="n">
        <v>2</v>
      </c>
      <c r="I33" t="n">
        <v>3</v>
      </c>
      <c r="J33" t="n">
        <v>1</v>
      </c>
      <c r="K33" t="n">
        <v>0</v>
      </c>
      <c r="L33" t="n">
        <v>0</v>
      </c>
      <c r="M33" t="n">
        <v>0</v>
      </c>
      <c r="N33" t="n">
        <v>0</v>
      </c>
      <c r="O33" t="n">
        <v>1</v>
      </c>
      <c r="P33" t="n">
        <v>0</v>
      </c>
      <c r="Q33" t="n">
        <v>5</v>
      </c>
      <c r="R33" s="2" t="inlineStr">
        <is>
          <t>Granticka
Tibast
Tvåblad
Underviol
Blåsippa</t>
        </is>
      </c>
      <c r="S33">
        <f>HYPERLINK("https://klasma.github.io/Logging_OSTERSUND/artfynd/A 27577-2022.xlsx")</f>
        <v/>
      </c>
      <c r="T33">
        <f>HYPERLINK("https://klasma.github.io/Logging_OSTERSUND/kartor/A 27577-2022.png")</f>
        <v/>
      </c>
      <c r="V33">
        <f>HYPERLINK("https://klasma.github.io/Logging_OSTERSUND/klagomål/A 27577-2022.docx")</f>
        <v/>
      </c>
      <c r="W33">
        <f>HYPERLINK("https://klasma.github.io/Logging_OSTERSUND/klagomålsmail/A 27577-2022.docx")</f>
        <v/>
      </c>
      <c r="X33">
        <f>HYPERLINK("https://klasma.github.io/Logging_OSTERSUND/tillsyn/A 27577-2022.docx")</f>
        <v/>
      </c>
      <c r="Y33">
        <f>HYPERLINK("https://klasma.github.io/Logging_OSTERSUND/tillsynsmail/A 27577-2022.docx")</f>
        <v/>
      </c>
    </row>
    <row r="34" ht="15" customHeight="1">
      <c r="A34" t="inlineStr">
        <is>
          <t>A 47392-2022</t>
        </is>
      </c>
      <c r="B34" s="1" t="n">
        <v>44851</v>
      </c>
      <c r="C34" s="1" t="n">
        <v>45177</v>
      </c>
      <c r="D34" t="inlineStr">
        <is>
          <t>JÄMTLANDS LÄN</t>
        </is>
      </c>
      <c r="E34" t="inlineStr">
        <is>
          <t>ÖSTERSUND</t>
        </is>
      </c>
      <c r="G34" t="n">
        <v>1.6</v>
      </c>
      <c r="H34" t="n">
        <v>3</v>
      </c>
      <c r="I34" t="n">
        <v>3</v>
      </c>
      <c r="J34" t="n">
        <v>1</v>
      </c>
      <c r="K34" t="n">
        <v>1</v>
      </c>
      <c r="L34" t="n">
        <v>0</v>
      </c>
      <c r="M34" t="n">
        <v>0</v>
      </c>
      <c r="N34" t="n">
        <v>0</v>
      </c>
      <c r="O34" t="n">
        <v>2</v>
      </c>
      <c r="P34" t="n">
        <v>1</v>
      </c>
      <c r="Q34" t="n">
        <v>5</v>
      </c>
      <c r="R34" s="2" t="inlineStr">
        <is>
          <t>Knärot
Garnlav
Guckusko
Plattlummer
Trådfräken</t>
        </is>
      </c>
      <c r="S34">
        <f>HYPERLINK("https://klasma.github.io/Logging_OSTERSUND/artfynd/A 47392-2022.xlsx")</f>
        <v/>
      </c>
      <c r="T34">
        <f>HYPERLINK("https://klasma.github.io/Logging_OSTERSUND/kartor/A 47392-2022.png")</f>
        <v/>
      </c>
      <c r="U34">
        <f>HYPERLINK("https://klasma.github.io/Logging_OSTERSUND/knärot/A 47392-2022.png")</f>
        <v/>
      </c>
      <c r="V34">
        <f>HYPERLINK("https://klasma.github.io/Logging_OSTERSUND/klagomål/A 47392-2022.docx")</f>
        <v/>
      </c>
      <c r="W34">
        <f>HYPERLINK("https://klasma.github.io/Logging_OSTERSUND/klagomålsmail/A 47392-2022.docx")</f>
        <v/>
      </c>
      <c r="X34">
        <f>HYPERLINK("https://klasma.github.io/Logging_OSTERSUND/tillsyn/A 47392-2022.docx")</f>
        <v/>
      </c>
      <c r="Y34">
        <f>HYPERLINK("https://klasma.github.io/Logging_OSTERSUND/tillsynsmail/A 47392-2022.docx")</f>
        <v/>
      </c>
    </row>
    <row r="35" ht="15" customHeight="1">
      <c r="A35" t="inlineStr">
        <is>
          <t>A 56096-2022</t>
        </is>
      </c>
      <c r="B35" s="1" t="n">
        <v>44889</v>
      </c>
      <c r="C35" s="1" t="n">
        <v>45177</v>
      </c>
      <c r="D35" t="inlineStr">
        <is>
          <t>JÄMTLANDS LÄN</t>
        </is>
      </c>
      <c r="E35" t="inlineStr">
        <is>
          <t>ÖSTERSUND</t>
        </is>
      </c>
      <c r="F35" t="inlineStr">
        <is>
          <t>Övriga Aktiebolag</t>
        </is>
      </c>
      <c r="G35" t="n">
        <v>15.1</v>
      </c>
      <c r="H35" t="n">
        <v>1</v>
      </c>
      <c r="I35" t="n">
        <v>0</v>
      </c>
      <c r="J35" t="n">
        <v>4</v>
      </c>
      <c r="K35" t="n">
        <v>0</v>
      </c>
      <c r="L35" t="n">
        <v>0</v>
      </c>
      <c r="M35" t="n">
        <v>0</v>
      </c>
      <c r="N35" t="n">
        <v>0</v>
      </c>
      <c r="O35" t="n">
        <v>4</v>
      </c>
      <c r="P35" t="n">
        <v>0</v>
      </c>
      <c r="Q35" t="n">
        <v>5</v>
      </c>
      <c r="R35" s="2" t="inlineStr">
        <is>
          <t>Brunklöver
Dvärgbägarlav
Garnlav
Ullticka
Revlummer</t>
        </is>
      </c>
      <c r="S35">
        <f>HYPERLINK("https://klasma.github.io/Logging_OSTERSUND/artfynd/A 56096-2022.xlsx")</f>
        <v/>
      </c>
      <c r="T35">
        <f>HYPERLINK("https://klasma.github.io/Logging_OSTERSUND/kartor/A 56096-2022.png")</f>
        <v/>
      </c>
      <c r="V35">
        <f>HYPERLINK("https://klasma.github.io/Logging_OSTERSUND/klagomål/A 56096-2022.docx")</f>
        <v/>
      </c>
      <c r="W35">
        <f>HYPERLINK("https://klasma.github.io/Logging_OSTERSUND/klagomålsmail/A 56096-2022.docx")</f>
        <v/>
      </c>
      <c r="X35">
        <f>HYPERLINK("https://klasma.github.io/Logging_OSTERSUND/tillsyn/A 56096-2022.docx")</f>
        <v/>
      </c>
      <c r="Y35">
        <f>HYPERLINK("https://klasma.github.io/Logging_OSTERSUND/tillsynsmail/A 56096-2022.docx")</f>
        <v/>
      </c>
    </row>
    <row r="36" ht="15" customHeight="1">
      <c r="A36" t="inlineStr">
        <is>
          <t>A 16688-2023</t>
        </is>
      </c>
      <c r="B36" s="1" t="n">
        <v>45028</v>
      </c>
      <c r="C36" s="1" t="n">
        <v>45177</v>
      </c>
      <c r="D36" t="inlineStr">
        <is>
          <t>JÄMTLANDS LÄN</t>
        </is>
      </c>
      <c r="E36" t="inlineStr">
        <is>
          <t>ÖSTERSUND</t>
        </is>
      </c>
      <c r="G36" t="n">
        <v>5</v>
      </c>
      <c r="H36" t="n">
        <v>1</v>
      </c>
      <c r="I36" t="n">
        <v>3</v>
      </c>
      <c r="J36" t="n">
        <v>0</v>
      </c>
      <c r="K36" t="n">
        <v>0</v>
      </c>
      <c r="L36" t="n">
        <v>1</v>
      </c>
      <c r="M36" t="n">
        <v>0</v>
      </c>
      <c r="N36" t="n">
        <v>0</v>
      </c>
      <c r="O36" t="n">
        <v>1</v>
      </c>
      <c r="P36" t="n">
        <v>1</v>
      </c>
      <c r="Q36" t="n">
        <v>5</v>
      </c>
      <c r="R36" s="2" t="inlineStr">
        <is>
          <t>Trolldruvemätare
Kransrams
Svart trolldruva
Underviol
Blåsippa</t>
        </is>
      </c>
      <c r="S36">
        <f>HYPERLINK("https://klasma.github.io/Logging_OSTERSUND/artfynd/A 16688-2023.xlsx")</f>
        <v/>
      </c>
      <c r="T36">
        <f>HYPERLINK("https://klasma.github.io/Logging_OSTERSUND/kartor/A 16688-2023.png")</f>
        <v/>
      </c>
      <c r="V36">
        <f>HYPERLINK("https://klasma.github.io/Logging_OSTERSUND/klagomål/A 16688-2023.docx")</f>
        <v/>
      </c>
      <c r="W36">
        <f>HYPERLINK("https://klasma.github.io/Logging_OSTERSUND/klagomålsmail/A 16688-2023.docx")</f>
        <v/>
      </c>
      <c r="X36">
        <f>HYPERLINK("https://klasma.github.io/Logging_OSTERSUND/tillsyn/A 16688-2023.docx")</f>
        <v/>
      </c>
      <c r="Y36">
        <f>HYPERLINK("https://klasma.github.io/Logging_OSTERSUND/tillsynsmail/A 16688-2023.docx")</f>
        <v/>
      </c>
    </row>
    <row r="37" ht="15" customHeight="1">
      <c r="A37" t="inlineStr">
        <is>
          <t>A 29135-2022</t>
        </is>
      </c>
      <c r="B37" s="1" t="n">
        <v>44750</v>
      </c>
      <c r="C37" s="1" t="n">
        <v>45177</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f>
        <v/>
      </c>
      <c r="T37">
        <f>HYPERLINK("https://klasma.github.io/Logging_OSTERSUND/kartor/A 29135-2022.png")</f>
        <v/>
      </c>
      <c r="V37">
        <f>HYPERLINK("https://klasma.github.io/Logging_OSTERSUND/klagomål/A 29135-2022.docx")</f>
        <v/>
      </c>
      <c r="W37">
        <f>HYPERLINK("https://klasma.github.io/Logging_OSTERSUND/klagomålsmail/A 29135-2022.docx")</f>
        <v/>
      </c>
      <c r="X37">
        <f>HYPERLINK("https://klasma.github.io/Logging_OSTERSUND/tillsyn/A 29135-2022.docx")</f>
        <v/>
      </c>
      <c r="Y37">
        <f>HYPERLINK("https://klasma.github.io/Logging_OSTERSUND/tillsynsmail/A 29135-2022.docx")</f>
        <v/>
      </c>
    </row>
    <row r="38" ht="15" customHeight="1">
      <c r="A38" t="inlineStr">
        <is>
          <t>A 59291-2022</t>
        </is>
      </c>
      <c r="B38" s="1" t="n">
        <v>44904</v>
      </c>
      <c r="C38" s="1" t="n">
        <v>45177</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f>
        <v/>
      </c>
      <c r="T38">
        <f>HYPERLINK("https://klasma.github.io/Logging_OSTERSUND/kartor/A 59291-2022.png")</f>
        <v/>
      </c>
      <c r="V38">
        <f>HYPERLINK("https://klasma.github.io/Logging_OSTERSUND/klagomål/A 59291-2022.docx")</f>
        <v/>
      </c>
      <c r="W38">
        <f>HYPERLINK("https://klasma.github.io/Logging_OSTERSUND/klagomålsmail/A 59291-2022.docx")</f>
        <v/>
      </c>
      <c r="X38">
        <f>HYPERLINK("https://klasma.github.io/Logging_OSTERSUND/tillsyn/A 59291-2022.docx")</f>
        <v/>
      </c>
      <c r="Y38">
        <f>HYPERLINK("https://klasma.github.io/Logging_OSTERSUND/tillsynsmail/A 59291-2022.docx")</f>
        <v/>
      </c>
    </row>
    <row r="39" ht="15" customHeight="1">
      <c r="A39" t="inlineStr">
        <is>
          <t>A 2962-2023</t>
        </is>
      </c>
      <c r="B39" s="1" t="n">
        <v>44945</v>
      </c>
      <c r="C39" s="1" t="n">
        <v>45177</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f>
        <v/>
      </c>
      <c r="T39">
        <f>HYPERLINK("https://klasma.github.io/Logging_OSTERSUND/kartor/A 2962-2023.png")</f>
        <v/>
      </c>
      <c r="V39">
        <f>HYPERLINK("https://klasma.github.io/Logging_OSTERSUND/klagomål/A 2962-2023.docx")</f>
        <v/>
      </c>
      <c r="W39">
        <f>HYPERLINK("https://klasma.github.io/Logging_OSTERSUND/klagomålsmail/A 2962-2023.docx")</f>
        <v/>
      </c>
      <c r="X39">
        <f>HYPERLINK("https://klasma.github.io/Logging_OSTERSUND/tillsyn/A 2962-2023.docx")</f>
        <v/>
      </c>
      <c r="Y39">
        <f>HYPERLINK("https://klasma.github.io/Logging_OSTERSUND/tillsynsmail/A 2962-2023.docx")</f>
        <v/>
      </c>
    </row>
    <row r="40" ht="15" customHeight="1">
      <c r="A40" t="inlineStr">
        <is>
          <t>A 23410-2019</t>
        </is>
      </c>
      <c r="B40" s="1" t="n">
        <v>43592</v>
      </c>
      <c r="C40" s="1" t="n">
        <v>45177</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f>
        <v/>
      </c>
      <c r="T40">
        <f>HYPERLINK("https://klasma.github.io/Logging_OSTERSUND/kartor/A 23410-2019.png")</f>
        <v/>
      </c>
      <c r="V40">
        <f>HYPERLINK("https://klasma.github.io/Logging_OSTERSUND/klagomål/A 23410-2019.docx")</f>
        <v/>
      </c>
      <c r="W40">
        <f>HYPERLINK("https://klasma.github.io/Logging_OSTERSUND/klagomålsmail/A 23410-2019.docx")</f>
        <v/>
      </c>
      <c r="X40">
        <f>HYPERLINK("https://klasma.github.io/Logging_OSTERSUND/tillsyn/A 23410-2019.docx")</f>
        <v/>
      </c>
      <c r="Y40">
        <f>HYPERLINK("https://klasma.github.io/Logging_OSTERSUND/tillsynsmail/A 23410-2019.docx")</f>
        <v/>
      </c>
    </row>
    <row r="41" ht="15" customHeight="1">
      <c r="A41" t="inlineStr">
        <is>
          <t>A 26741-2019</t>
        </is>
      </c>
      <c r="B41" s="1" t="n">
        <v>43607</v>
      </c>
      <c r="C41" s="1" t="n">
        <v>45177</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f>
        <v/>
      </c>
      <c r="T41">
        <f>HYPERLINK("https://klasma.github.io/Logging_OSTERSUND/kartor/A 26741-2019.png")</f>
        <v/>
      </c>
      <c r="V41">
        <f>HYPERLINK("https://klasma.github.io/Logging_OSTERSUND/klagomål/A 26741-2019.docx")</f>
        <v/>
      </c>
      <c r="W41">
        <f>HYPERLINK("https://klasma.github.io/Logging_OSTERSUND/klagomålsmail/A 26741-2019.docx")</f>
        <v/>
      </c>
      <c r="X41">
        <f>HYPERLINK("https://klasma.github.io/Logging_OSTERSUND/tillsyn/A 26741-2019.docx")</f>
        <v/>
      </c>
      <c r="Y41">
        <f>HYPERLINK("https://klasma.github.io/Logging_OSTERSUND/tillsynsmail/A 26741-2019.docx")</f>
        <v/>
      </c>
    </row>
    <row r="42" ht="15" customHeight="1">
      <c r="A42" t="inlineStr">
        <is>
          <t>A 36815-2019</t>
        </is>
      </c>
      <c r="B42" s="1" t="n">
        <v>43672</v>
      </c>
      <c r="C42" s="1" t="n">
        <v>45177</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f>
        <v/>
      </c>
      <c r="T42">
        <f>HYPERLINK("https://klasma.github.io/Logging_OSTERSUND/kartor/A 36815-2019.png")</f>
        <v/>
      </c>
      <c r="V42">
        <f>HYPERLINK("https://klasma.github.io/Logging_OSTERSUND/klagomål/A 36815-2019.docx")</f>
        <v/>
      </c>
      <c r="W42">
        <f>HYPERLINK("https://klasma.github.io/Logging_OSTERSUND/klagomålsmail/A 36815-2019.docx")</f>
        <v/>
      </c>
      <c r="X42">
        <f>HYPERLINK("https://klasma.github.io/Logging_OSTERSUND/tillsyn/A 36815-2019.docx")</f>
        <v/>
      </c>
      <c r="Y42">
        <f>HYPERLINK("https://klasma.github.io/Logging_OSTERSUND/tillsynsmail/A 36815-2019.docx")</f>
        <v/>
      </c>
    </row>
    <row r="43" ht="15" customHeight="1">
      <c r="A43" t="inlineStr">
        <is>
          <t>A 62240-2019</t>
        </is>
      </c>
      <c r="B43" s="1" t="n">
        <v>43784</v>
      </c>
      <c r="C43" s="1" t="n">
        <v>45177</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f>
        <v/>
      </c>
      <c r="T43">
        <f>HYPERLINK("https://klasma.github.io/Logging_OSTERSUND/kartor/A 62240-2019.png")</f>
        <v/>
      </c>
      <c r="V43">
        <f>HYPERLINK("https://klasma.github.io/Logging_OSTERSUND/klagomål/A 62240-2019.docx")</f>
        <v/>
      </c>
      <c r="W43">
        <f>HYPERLINK("https://klasma.github.io/Logging_OSTERSUND/klagomålsmail/A 62240-2019.docx")</f>
        <v/>
      </c>
      <c r="X43">
        <f>HYPERLINK("https://klasma.github.io/Logging_OSTERSUND/tillsyn/A 62240-2019.docx")</f>
        <v/>
      </c>
      <c r="Y43">
        <f>HYPERLINK("https://klasma.github.io/Logging_OSTERSUND/tillsynsmail/A 62240-2019.docx")</f>
        <v/>
      </c>
    </row>
    <row r="44" ht="15" customHeight="1">
      <c r="A44" t="inlineStr">
        <is>
          <t>A 7877-2021</t>
        </is>
      </c>
      <c r="B44" s="1" t="n">
        <v>44242</v>
      </c>
      <c r="C44" s="1" t="n">
        <v>45177</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f>
        <v/>
      </c>
      <c r="T44">
        <f>HYPERLINK("https://klasma.github.io/Logging_OSTERSUND/kartor/A 7877-2021.png")</f>
        <v/>
      </c>
      <c r="U44">
        <f>HYPERLINK("https://klasma.github.io/Logging_OSTERSUND/knärot/A 7877-2021.png")</f>
        <v/>
      </c>
      <c r="V44">
        <f>HYPERLINK("https://klasma.github.io/Logging_OSTERSUND/klagomål/A 7877-2021.docx")</f>
        <v/>
      </c>
      <c r="W44">
        <f>HYPERLINK("https://klasma.github.io/Logging_OSTERSUND/klagomålsmail/A 7877-2021.docx")</f>
        <v/>
      </c>
      <c r="X44">
        <f>HYPERLINK("https://klasma.github.io/Logging_OSTERSUND/tillsyn/A 7877-2021.docx")</f>
        <v/>
      </c>
      <c r="Y44">
        <f>HYPERLINK("https://klasma.github.io/Logging_OSTERSUND/tillsynsmail/A 7877-2021.docx")</f>
        <v/>
      </c>
    </row>
    <row r="45" ht="15" customHeight="1">
      <c r="A45" t="inlineStr">
        <is>
          <t>A 29349-2022</t>
        </is>
      </c>
      <c r="B45" s="1" t="n">
        <v>44750</v>
      </c>
      <c r="C45" s="1" t="n">
        <v>45177</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f>
        <v/>
      </c>
      <c r="T45">
        <f>HYPERLINK("https://klasma.github.io/Logging_OSTERSUND/kartor/A 29349-2022.png")</f>
        <v/>
      </c>
      <c r="V45">
        <f>HYPERLINK("https://klasma.github.io/Logging_OSTERSUND/klagomål/A 29349-2022.docx")</f>
        <v/>
      </c>
      <c r="W45">
        <f>HYPERLINK("https://klasma.github.io/Logging_OSTERSUND/klagomålsmail/A 29349-2022.docx")</f>
        <v/>
      </c>
      <c r="X45">
        <f>HYPERLINK("https://klasma.github.io/Logging_OSTERSUND/tillsyn/A 29349-2022.docx")</f>
        <v/>
      </c>
      <c r="Y45">
        <f>HYPERLINK("https://klasma.github.io/Logging_OSTERSUND/tillsynsmail/A 29349-2022.docx")</f>
        <v/>
      </c>
    </row>
    <row r="46" ht="15" customHeight="1">
      <c r="A46" t="inlineStr">
        <is>
          <t>A 39641-2022</t>
        </is>
      </c>
      <c r="B46" s="1" t="n">
        <v>44817</v>
      </c>
      <c r="C46" s="1" t="n">
        <v>45177</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f>
        <v/>
      </c>
      <c r="T46">
        <f>HYPERLINK("https://klasma.github.io/Logging_OSTERSUND/kartor/A 39641-2022.png")</f>
        <v/>
      </c>
      <c r="U46">
        <f>HYPERLINK("https://klasma.github.io/Logging_OSTERSUND/knärot/A 39641-2022.png")</f>
        <v/>
      </c>
      <c r="V46">
        <f>HYPERLINK("https://klasma.github.io/Logging_OSTERSUND/klagomål/A 39641-2022.docx")</f>
        <v/>
      </c>
      <c r="W46">
        <f>HYPERLINK("https://klasma.github.io/Logging_OSTERSUND/klagomålsmail/A 39641-2022.docx")</f>
        <v/>
      </c>
      <c r="X46">
        <f>HYPERLINK("https://klasma.github.io/Logging_OSTERSUND/tillsyn/A 39641-2022.docx")</f>
        <v/>
      </c>
      <c r="Y46">
        <f>HYPERLINK("https://klasma.github.io/Logging_OSTERSUND/tillsynsmail/A 39641-2022.docx")</f>
        <v/>
      </c>
    </row>
    <row r="47" ht="15" customHeight="1">
      <c r="A47" t="inlineStr">
        <is>
          <t>A 60565-2022</t>
        </is>
      </c>
      <c r="B47" s="1" t="n">
        <v>44904</v>
      </c>
      <c r="C47" s="1" t="n">
        <v>45177</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f>
        <v/>
      </c>
      <c r="T47">
        <f>HYPERLINK("https://klasma.github.io/Logging_OSTERSUND/kartor/A 60565-2022.png")</f>
        <v/>
      </c>
      <c r="V47">
        <f>HYPERLINK("https://klasma.github.io/Logging_OSTERSUND/klagomål/A 60565-2022.docx")</f>
        <v/>
      </c>
      <c r="W47">
        <f>HYPERLINK("https://klasma.github.io/Logging_OSTERSUND/klagomålsmail/A 60565-2022.docx")</f>
        <v/>
      </c>
      <c r="X47">
        <f>HYPERLINK("https://klasma.github.io/Logging_OSTERSUND/tillsyn/A 60565-2022.docx")</f>
        <v/>
      </c>
      <c r="Y47">
        <f>HYPERLINK("https://klasma.github.io/Logging_OSTERSUND/tillsynsmail/A 60565-2022.docx")</f>
        <v/>
      </c>
    </row>
    <row r="48" ht="15" customHeight="1">
      <c r="A48" t="inlineStr">
        <is>
          <t>A 5100-2023</t>
        </is>
      </c>
      <c r="B48" s="1" t="n">
        <v>44956</v>
      </c>
      <c r="C48" s="1" t="n">
        <v>45177</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f>
        <v/>
      </c>
      <c r="T48">
        <f>HYPERLINK("https://klasma.github.io/Logging_OSTERSUND/kartor/A 5100-2023.png")</f>
        <v/>
      </c>
      <c r="V48">
        <f>HYPERLINK("https://klasma.github.io/Logging_OSTERSUND/klagomål/A 5100-2023.docx")</f>
        <v/>
      </c>
      <c r="W48">
        <f>HYPERLINK("https://klasma.github.io/Logging_OSTERSUND/klagomålsmail/A 5100-2023.docx")</f>
        <v/>
      </c>
      <c r="X48">
        <f>HYPERLINK("https://klasma.github.io/Logging_OSTERSUND/tillsyn/A 5100-2023.docx")</f>
        <v/>
      </c>
      <c r="Y48">
        <f>HYPERLINK("https://klasma.github.io/Logging_OSTERSUND/tillsynsmail/A 5100-2023.docx")</f>
        <v/>
      </c>
    </row>
    <row r="49" ht="15" customHeight="1">
      <c r="A49" t="inlineStr">
        <is>
          <t>A 19520-2023</t>
        </is>
      </c>
      <c r="B49" s="1" t="n">
        <v>45049</v>
      </c>
      <c r="C49" s="1" t="n">
        <v>45177</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f>
        <v/>
      </c>
      <c r="T49">
        <f>HYPERLINK("https://klasma.github.io/Logging_OSTERSUND/kartor/A 19520-2023.png")</f>
        <v/>
      </c>
      <c r="V49">
        <f>HYPERLINK("https://klasma.github.io/Logging_OSTERSUND/klagomål/A 19520-2023.docx")</f>
        <v/>
      </c>
      <c r="W49">
        <f>HYPERLINK("https://klasma.github.io/Logging_OSTERSUND/klagomålsmail/A 19520-2023.docx")</f>
        <v/>
      </c>
      <c r="X49">
        <f>HYPERLINK("https://klasma.github.io/Logging_OSTERSUND/tillsyn/A 19520-2023.docx")</f>
        <v/>
      </c>
      <c r="Y49">
        <f>HYPERLINK("https://klasma.github.io/Logging_OSTERSUND/tillsynsmail/A 19520-2023.docx")</f>
        <v/>
      </c>
    </row>
    <row r="50" ht="15" customHeight="1">
      <c r="A50" t="inlineStr">
        <is>
          <t>A 21752-2023</t>
        </is>
      </c>
      <c r="B50" s="1" t="n">
        <v>45063</v>
      </c>
      <c r="C50" s="1" t="n">
        <v>45177</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f>
        <v/>
      </c>
      <c r="T50">
        <f>HYPERLINK("https://klasma.github.io/Logging_OSTERSUND/kartor/A 21752-2023.png")</f>
        <v/>
      </c>
      <c r="U50">
        <f>HYPERLINK("https://klasma.github.io/Logging_OSTERSUND/knärot/A 21752-2023.png")</f>
        <v/>
      </c>
      <c r="V50">
        <f>HYPERLINK("https://klasma.github.io/Logging_OSTERSUND/klagomål/A 21752-2023.docx")</f>
        <v/>
      </c>
      <c r="W50">
        <f>HYPERLINK("https://klasma.github.io/Logging_OSTERSUND/klagomålsmail/A 21752-2023.docx")</f>
        <v/>
      </c>
      <c r="X50">
        <f>HYPERLINK("https://klasma.github.io/Logging_OSTERSUND/tillsyn/A 21752-2023.docx")</f>
        <v/>
      </c>
      <c r="Y50">
        <f>HYPERLINK("https://klasma.github.io/Logging_OSTERSUND/tillsynsmail/A 21752-2023.docx")</f>
        <v/>
      </c>
    </row>
    <row r="51" ht="15" customHeight="1">
      <c r="A51" t="inlineStr">
        <is>
          <t>A 50332-2018</t>
        </is>
      </c>
      <c r="B51" s="1" t="n">
        <v>43378</v>
      </c>
      <c r="C51" s="1" t="n">
        <v>45177</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f>
        <v/>
      </c>
      <c r="T51">
        <f>HYPERLINK("https://klasma.github.io/Logging_OSTERSUND/kartor/A 50332-2018.png")</f>
        <v/>
      </c>
      <c r="V51">
        <f>HYPERLINK("https://klasma.github.io/Logging_OSTERSUND/klagomål/A 50332-2018.docx")</f>
        <v/>
      </c>
      <c r="W51">
        <f>HYPERLINK("https://klasma.github.io/Logging_OSTERSUND/klagomålsmail/A 50332-2018.docx")</f>
        <v/>
      </c>
      <c r="X51">
        <f>HYPERLINK("https://klasma.github.io/Logging_OSTERSUND/tillsyn/A 50332-2018.docx")</f>
        <v/>
      </c>
      <c r="Y51">
        <f>HYPERLINK("https://klasma.github.io/Logging_OSTERSUND/tillsynsmail/A 50332-2018.docx")</f>
        <v/>
      </c>
    </row>
    <row r="52" ht="15" customHeight="1">
      <c r="A52" t="inlineStr">
        <is>
          <t>A 70401-2018</t>
        </is>
      </c>
      <c r="B52" s="1" t="n">
        <v>43446</v>
      </c>
      <c r="C52" s="1" t="n">
        <v>45177</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f>
        <v/>
      </c>
      <c r="T52">
        <f>HYPERLINK("https://klasma.github.io/Logging_OSTERSUND/kartor/A 70401-2018.png")</f>
        <v/>
      </c>
      <c r="V52">
        <f>HYPERLINK("https://klasma.github.io/Logging_OSTERSUND/klagomål/A 70401-2018.docx")</f>
        <v/>
      </c>
      <c r="W52">
        <f>HYPERLINK("https://klasma.github.io/Logging_OSTERSUND/klagomålsmail/A 70401-2018.docx")</f>
        <v/>
      </c>
      <c r="X52">
        <f>HYPERLINK("https://klasma.github.io/Logging_OSTERSUND/tillsyn/A 70401-2018.docx")</f>
        <v/>
      </c>
      <c r="Y52">
        <f>HYPERLINK("https://klasma.github.io/Logging_OSTERSUND/tillsynsmail/A 70401-2018.docx")</f>
        <v/>
      </c>
    </row>
    <row r="53" ht="15" customHeight="1">
      <c r="A53" t="inlineStr">
        <is>
          <t>A 35996-2019</t>
        </is>
      </c>
      <c r="B53" s="1" t="n">
        <v>43656</v>
      </c>
      <c r="C53" s="1" t="n">
        <v>45177</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f>
        <v/>
      </c>
      <c r="T53">
        <f>HYPERLINK("https://klasma.github.io/Logging_OSTERSUND/kartor/A 35996-2019.png")</f>
        <v/>
      </c>
      <c r="V53">
        <f>HYPERLINK("https://klasma.github.io/Logging_OSTERSUND/klagomål/A 35996-2019.docx")</f>
        <v/>
      </c>
      <c r="W53">
        <f>HYPERLINK("https://klasma.github.io/Logging_OSTERSUND/klagomålsmail/A 35996-2019.docx")</f>
        <v/>
      </c>
      <c r="X53">
        <f>HYPERLINK("https://klasma.github.io/Logging_OSTERSUND/tillsyn/A 35996-2019.docx")</f>
        <v/>
      </c>
      <c r="Y53">
        <f>HYPERLINK("https://klasma.github.io/Logging_OSTERSUND/tillsynsmail/A 35996-2019.docx")</f>
        <v/>
      </c>
    </row>
    <row r="54" ht="15" customHeight="1">
      <c r="A54" t="inlineStr">
        <is>
          <t>A 29583-2021</t>
        </is>
      </c>
      <c r="B54" s="1" t="n">
        <v>44361</v>
      </c>
      <c r="C54" s="1" t="n">
        <v>45177</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f>
        <v/>
      </c>
      <c r="T54">
        <f>HYPERLINK("https://klasma.github.io/Logging_OSTERSUND/kartor/A 29583-2021.png")</f>
        <v/>
      </c>
      <c r="V54">
        <f>HYPERLINK("https://klasma.github.io/Logging_OSTERSUND/klagomål/A 29583-2021.docx")</f>
        <v/>
      </c>
      <c r="W54">
        <f>HYPERLINK("https://klasma.github.io/Logging_OSTERSUND/klagomålsmail/A 29583-2021.docx")</f>
        <v/>
      </c>
      <c r="X54">
        <f>HYPERLINK("https://klasma.github.io/Logging_OSTERSUND/tillsyn/A 29583-2021.docx")</f>
        <v/>
      </c>
      <c r="Y54">
        <f>HYPERLINK("https://klasma.github.io/Logging_OSTERSUND/tillsynsmail/A 29583-2021.docx")</f>
        <v/>
      </c>
    </row>
    <row r="55" ht="15" customHeight="1">
      <c r="A55" t="inlineStr">
        <is>
          <t>A 30105-2021</t>
        </is>
      </c>
      <c r="B55" s="1" t="n">
        <v>44363</v>
      </c>
      <c r="C55" s="1" t="n">
        <v>45177</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f>
        <v/>
      </c>
      <c r="T55">
        <f>HYPERLINK("https://klasma.github.io/Logging_OSTERSUND/kartor/A 30105-2021.png")</f>
        <v/>
      </c>
      <c r="V55">
        <f>HYPERLINK("https://klasma.github.io/Logging_OSTERSUND/klagomål/A 30105-2021.docx")</f>
        <v/>
      </c>
      <c r="W55">
        <f>HYPERLINK("https://klasma.github.io/Logging_OSTERSUND/klagomålsmail/A 30105-2021.docx")</f>
        <v/>
      </c>
      <c r="X55">
        <f>HYPERLINK("https://klasma.github.io/Logging_OSTERSUND/tillsyn/A 30105-2021.docx")</f>
        <v/>
      </c>
      <c r="Y55">
        <f>HYPERLINK("https://klasma.github.io/Logging_OSTERSUND/tillsynsmail/A 30105-2021.docx")</f>
        <v/>
      </c>
    </row>
    <row r="56" ht="15" customHeight="1">
      <c r="A56" t="inlineStr">
        <is>
          <t>A 46105-2021</t>
        </is>
      </c>
      <c r="B56" s="1" t="n">
        <v>44441</v>
      </c>
      <c r="C56" s="1" t="n">
        <v>45177</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f>
        <v/>
      </c>
      <c r="T56">
        <f>HYPERLINK("https://klasma.github.io/Logging_OSTERSUND/kartor/A 46105-2021.png")</f>
        <v/>
      </c>
      <c r="V56">
        <f>HYPERLINK("https://klasma.github.io/Logging_OSTERSUND/klagomål/A 46105-2021.docx")</f>
        <v/>
      </c>
      <c r="W56">
        <f>HYPERLINK("https://klasma.github.io/Logging_OSTERSUND/klagomålsmail/A 46105-2021.docx")</f>
        <v/>
      </c>
      <c r="X56">
        <f>HYPERLINK("https://klasma.github.io/Logging_OSTERSUND/tillsyn/A 46105-2021.docx")</f>
        <v/>
      </c>
      <c r="Y56">
        <f>HYPERLINK("https://klasma.github.io/Logging_OSTERSUND/tillsynsmail/A 46105-2021.docx")</f>
        <v/>
      </c>
    </row>
    <row r="57" ht="15" customHeight="1">
      <c r="A57" t="inlineStr">
        <is>
          <t>A 63601-2021</t>
        </is>
      </c>
      <c r="B57" s="1" t="n">
        <v>44508</v>
      </c>
      <c r="C57" s="1" t="n">
        <v>45177</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f>
        <v/>
      </c>
      <c r="T57">
        <f>HYPERLINK("https://klasma.github.io/Logging_OSTERSUND/kartor/A 63601-2021.png")</f>
        <v/>
      </c>
      <c r="V57">
        <f>HYPERLINK("https://klasma.github.io/Logging_OSTERSUND/klagomål/A 63601-2021.docx")</f>
        <v/>
      </c>
      <c r="W57">
        <f>HYPERLINK("https://klasma.github.io/Logging_OSTERSUND/klagomålsmail/A 63601-2021.docx")</f>
        <v/>
      </c>
      <c r="X57">
        <f>HYPERLINK("https://klasma.github.io/Logging_OSTERSUND/tillsyn/A 63601-2021.docx")</f>
        <v/>
      </c>
      <c r="Y57">
        <f>HYPERLINK("https://klasma.github.io/Logging_OSTERSUND/tillsynsmail/A 63601-2021.docx")</f>
        <v/>
      </c>
    </row>
    <row r="58" ht="15" customHeight="1">
      <c r="A58" t="inlineStr">
        <is>
          <t>A 19511-2022</t>
        </is>
      </c>
      <c r="B58" s="1" t="n">
        <v>44693</v>
      </c>
      <c r="C58" s="1" t="n">
        <v>45177</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f>
        <v/>
      </c>
      <c r="T58">
        <f>HYPERLINK("https://klasma.github.io/Logging_OSTERSUND/kartor/A 19511-2022.png")</f>
        <v/>
      </c>
      <c r="U58">
        <f>HYPERLINK("https://klasma.github.io/Logging_OSTERSUND/knärot/A 19511-2022.png")</f>
        <v/>
      </c>
      <c r="V58">
        <f>HYPERLINK("https://klasma.github.io/Logging_OSTERSUND/klagomål/A 19511-2022.docx")</f>
        <v/>
      </c>
      <c r="W58">
        <f>HYPERLINK("https://klasma.github.io/Logging_OSTERSUND/klagomålsmail/A 19511-2022.docx")</f>
        <v/>
      </c>
      <c r="X58">
        <f>HYPERLINK("https://klasma.github.io/Logging_OSTERSUND/tillsyn/A 19511-2022.docx")</f>
        <v/>
      </c>
      <c r="Y58">
        <f>HYPERLINK("https://klasma.github.io/Logging_OSTERSUND/tillsynsmail/A 19511-2022.docx")</f>
        <v/>
      </c>
    </row>
    <row r="59" ht="15" customHeight="1">
      <c r="A59" t="inlineStr">
        <is>
          <t>A 47385-2022</t>
        </is>
      </c>
      <c r="B59" s="1" t="n">
        <v>44853</v>
      </c>
      <c r="C59" s="1" t="n">
        <v>45177</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f>
        <v/>
      </c>
      <c r="T59">
        <f>HYPERLINK("https://klasma.github.io/Logging_OSTERSUND/kartor/A 47385-2022.png")</f>
        <v/>
      </c>
      <c r="U59">
        <f>HYPERLINK("https://klasma.github.io/Logging_OSTERSUND/knärot/A 47385-2022.png")</f>
        <v/>
      </c>
      <c r="V59">
        <f>HYPERLINK("https://klasma.github.io/Logging_OSTERSUND/klagomål/A 47385-2022.docx")</f>
        <v/>
      </c>
      <c r="W59">
        <f>HYPERLINK("https://klasma.github.io/Logging_OSTERSUND/klagomålsmail/A 47385-2022.docx")</f>
        <v/>
      </c>
      <c r="X59">
        <f>HYPERLINK("https://klasma.github.io/Logging_OSTERSUND/tillsyn/A 47385-2022.docx")</f>
        <v/>
      </c>
      <c r="Y59">
        <f>HYPERLINK("https://klasma.github.io/Logging_OSTERSUND/tillsynsmail/A 47385-2022.docx")</f>
        <v/>
      </c>
    </row>
    <row r="60" ht="15" customHeight="1">
      <c r="A60" t="inlineStr">
        <is>
          <t>A 60534-2022</t>
        </is>
      </c>
      <c r="B60" s="1" t="n">
        <v>44904</v>
      </c>
      <c r="C60" s="1" t="n">
        <v>45177</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f>
        <v/>
      </c>
      <c r="T60">
        <f>HYPERLINK("https://klasma.github.io/Logging_OSTERSUND/kartor/A 60534-2022.png")</f>
        <v/>
      </c>
      <c r="V60">
        <f>HYPERLINK("https://klasma.github.io/Logging_OSTERSUND/klagomål/A 60534-2022.docx")</f>
        <v/>
      </c>
      <c r="W60">
        <f>HYPERLINK("https://klasma.github.io/Logging_OSTERSUND/klagomålsmail/A 60534-2022.docx")</f>
        <v/>
      </c>
      <c r="X60">
        <f>HYPERLINK("https://klasma.github.io/Logging_OSTERSUND/tillsyn/A 60534-2022.docx")</f>
        <v/>
      </c>
      <c r="Y60">
        <f>HYPERLINK("https://klasma.github.io/Logging_OSTERSUND/tillsynsmail/A 60534-2022.docx")</f>
        <v/>
      </c>
    </row>
    <row r="61" ht="15" customHeight="1">
      <c r="A61" t="inlineStr">
        <is>
          <t>A 59793-2022</t>
        </is>
      </c>
      <c r="B61" s="1" t="n">
        <v>44908</v>
      </c>
      <c r="C61" s="1" t="n">
        <v>45177</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f>
        <v/>
      </c>
      <c r="T61">
        <f>HYPERLINK("https://klasma.github.io/Logging_OSTERSUND/kartor/A 59793-2022.png")</f>
        <v/>
      </c>
      <c r="V61">
        <f>HYPERLINK("https://klasma.github.io/Logging_OSTERSUND/klagomål/A 59793-2022.docx")</f>
        <v/>
      </c>
      <c r="W61">
        <f>HYPERLINK("https://klasma.github.io/Logging_OSTERSUND/klagomålsmail/A 59793-2022.docx")</f>
        <v/>
      </c>
      <c r="X61">
        <f>HYPERLINK("https://klasma.github.io/Logging_OSTERSUND/tillsyn/A 59793-2022.docx")</f>
        <v/>
      </c>
      <c r="Y61">
        <f>HYPERLINK("https://klasma.github.io/Logging_OSTERSUND/tillsynsmail/A 59793-2022.docx")</f>
        <v/>
      </c>
    </row>
    <row r="62" ht="15" customHeight="1">
      <c r="A62" t="inlineStr">
        <is>
          <t>A 60614-2022</t>
        </is>
      </c>
      <c r="B62" s="1" t="n">
        <v>44911</v>
      </c>
      <c r="C62" s="1" t="n">
        <v>45177</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f>
        <v/>
      </c>
      <c r="T62">
        <f>HYPERLINK("https://klasma.github.io/Logging_OSTERSUND/kartor/A 60614-2022.png")</f>
        <v/>
      </c>
      <c r="V62">
        <f>HYPERLINK("https://klasma.github.io/Logging_OSTERSUND/klagomål/A 60614-2022.docx")</f>
        <v/>
      </c>
      <c r="W62">
        <f>HYPERLINK("https://klasma.github.io/Logging_OSTERSUND/klagomålsmail/A 60614-2022.docx")</f>
        <v/>
      </c>
      <c r="X62">
        <f>HYPERLINK("https://klasma.github.io/Logging_OSTERSUND/tillsyn/A 60614-2022.docx")</f>
        <v/>
      </c>
      <c r="Y62">
        <f>HYPERLINK("https://klasma.github.io/Logging_OSTERSUND/tillsynsmail/A 60614-2022.docx")</f>
        <v/>
      </c>
    </row>
    <row r="63" ht="15" customHeight="1">
      <c r="A63" t="inlineStr">
        <is>
          <t>A 19147-2023</t>
        </is>
      </c>
      <c r="B63" s="1" t="n">
        <v>45044</v>
      </c>
      <c r="C63" s="1" t="n">
        <v>45177</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f>
        <v/>
      </c>
      <c r="T63">
        <f>HYPERLINK("https://klasma.github.io/Logging_OSTERSUND/kartor/A 19147-2023.png")</f>
        <v/>
      </c>
      <c r="V63">
        <f>HYPERLINK("https://klasma.github.io/Logging_OSTERSUND/klagomål/A 19147-2023.docx")</f>
        <v/>
      </c>
      <c r="W63">
        <f>HYPERLINK("https://klasma.github.io/Logging_OSTERSUND/klagomålsmail/A 19147-2023.docx")</f>
        <v/>
      </c>
      <c r="X63">
        <f>HYPERLINK("https://klasma.github.io/Logging_OSTERSUND/tillsyn/A 19147-2023.docx")</f>
        <v/>
      </c>
      <c r="Y63">
        <f>HYPERLINK("https://klasma.github.io/Logging_OSTERSUND/tillsynsmail/A 19147-2023.docx")</f>
        <v/>
      </c>
    </row>
    <row r="64" ht="15" customHeight="1">
      <c r="A64" t="inlineStr">
        <is>
          <t>A 38334-2023</t>
        </is>
      </c>
      <c r="B64" s="1" t="n">
        <v>45161</v>
      </c>
      <c r="C64" s="1" t="n">
        <v>45177</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f>
        <v/>
      </c>
      <c r="T64">
        <f>HYPERLINK("https://klasma.github.io/Logging_OSTERSUND/kartor/A 38334-2023.png")</f>
        <v/>
      </c>
      <c r="V64">
        <f>HYPERLINK("https://klasma.github.io/Logging_OSTERSUND/klagomål/A 38334-2023.docx")</f>
        <v/>
      </c>
      <c r="W64">
        <f>HYPERLINK("https://klasma.github.io/Logging_OSTERSUND/klagomålsmail/A 38334-2023.docx")</f>
        <v/>
      </c>
      <c r="X64">
        <f>HYPERLINK("https://klasma.github.io/Logging_OSTERSUND/tillsyn/A 38334-2023.docx")</f>
        <v/>
      </c>
      <c r="Y64">
        <f>HYPERLINK("https://klasma.github.io/Logging_OSTERSUND/tillsynsmail/A 38334-2023.docx")</f>
        <v/>
      </c>
    </row>
    <row r="65" ht="15" customHeight="1">
      <c r="A65" t="inlineStr">
        <is>
          <t>A 59147-2018</t>
        </is>
      </c>
      <c r="B65" s="1" t="n">
        <v>43417</v>
      </c>
      <c r="C65" s="1" t="n">
        <v>45177</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f>
        <v/>
      </c>
      <c r="T65">
        <f>HYPERLINK("https://klasma.github.io/Logging_OSTERSUND/kartor/A 59147-2018.png")</f>
        <v/>
      </c>
      <c r="V65">
        <f>HYPERLINK("https://klasma.github.io/Logging_OSTERSUND/klagomål/A 59147-2018.docx")</f>
        <v/>
      </c>
      <c r="W65">
        <f>HYPERLINK("https://klasma.github.io/Logging_OSTERSUND/klagomålsmail/A 59147-2018.docx")</f>
        <v/>
      </c>
      <c r="X65">
        <f>HYPERLINK("https://klasma.github.io/Logging_OSTERSUND/tillsyn/A 59147-2018.docx")</f>
        <v/>
      </c>
      <c r="Y65">
        <f>HYPERLINK("https://klasma.github.io/Logging_OSTERSUND/tillsynsmail/A 59147-2018.docx")</f>
        <v/>
      </c>
    </row>
    <row r="66" ht="15" customHeight="1">
      <c r="A66" t="inlineStr">
        <is>
          <t>A 30941-2019</t>
        </is>
      </c>
      <c r="B66" s="1" t="n">
        <v>43636</v>
      </c>
      <c r="C66" s="1" t="n">
        <v>45177</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f>
        <v/>
      </c>
      <c r="T66">
        <f>HYPERLINK("https://klasma.github.io/Logging_OSTERSUND/kartor/A 30941-2019.png")</f>
        <v/>
      </c>
      <c r="V66">
        <f>HYPERLINK("https://klasma.github.io/Logging_OSTERSUND/klagomål/A 30941-2019.docx")</f>
        <v/>
      </c>
      <c r="W66">
        <f>HYPERLINK("https://klasma.github.io/Logging_OSTERSUND/klagomålsmail/A 30941-2019.docx")</f>
        <v/>
      </c>
      <c r="X66">
        <f>HYPERLINK("https://klasma.github.io/Logging_OSTERSUND/tillsyn/A 30941-2019.docx")</f>
        <v/>
      </c>
      <c r="Y66">
        <f>HYPERLINK("https://klasma.github.io/Logging_OSTERSUND/tillsynsmail/A 30941-2019.docx")</f>
        <v/>
      </c>
    </row>
    <row r="67" ht="15" customHeight="1">
      <c r="A67" t="inlineStr">
        <is>
          <t>A 57757-2019</t>
        </is>
      </c>
      <c r="B67" s="1" t="n">
        <v>43768</v>
      </c>
      <c r="C67" s="1" t="n">
        <v>45177</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f>
        <v/>
      </c>
      <c r="T67">
        <f>HYPERLINK("https://klasma.github.io/Logging_OSTERSUND/kartor/A 57757-2019.png")</f>
        <v/>
      </c>
      <c r="V67">
        <f>HYPERLINK("https://klasma.github.io/Logging_OSTERSUND/klagomål/A 57757-2019.docx")</f>
        <v/>
      </c>
      <c r="W67">
        <f>HYPERLINK("https://klasma.github.io/Logging_OSTERSUND/klagomålsmail/A 57757-2019.docx")</f>
        <v/>
      </c>
      <c r="X67">
        <f>HYPERLINK("https://klasma.github.io/Logging_OSTERSUND/tillsyn/A 57757-2019.docx")</f>
        <v/>
      </c>
      <c r="Y67">
        <f>HYPERLINK("https://klasma.github.io/Logging_OSTERSUND/tillsynsmail/A 57757-2019.docx")</f>
        <v/>
      </c>
    </row>
    <row r="68" ht="15" customHeight="1">
      <c r="A68" t="inlineStr">
        <is>
          <t>A 61628-2019</t>
        </is>
      </c>
      <c r="B68" s="1" t="n">
        <v>43784</v>
      </c>
      <c r="C68" s="1" t="n">
        <v>45177</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f>
        <v/>
      </c>
      <c r="T68">
        <f>HYPERLINK("https://klasma.github.io/Logging_OSTERSUND/kartor/A 61628-2019.png")</f>
        <v/>
      </c>
      <c r="V68">
        <f>HYPERLINK("https://klasma.github.io/Logging_OSTERSUND/klagomål/A 61628-2019.docx")</f>
        <v/>
      </c>
      <c r="W68">
        <f>HYPERLINK("https://klasma.github.io/Logging_OSTERSUND/klagomålsmail/A 61628-2019.docx")</f>
        <v/>
      </c>
      <c r="X68">
        <f>HYPERLINK("https://klasma.github.io/Logging_OSTERSUND/tillsyn/A 61628-2019.docx")</f>
        <v/>
      </c>
      <c r="Y68">
        <f>HYPERLINK("https://klasma.github.io/Logging_OSTERSUND/tillsynsmail/A 61628-2019.docx")</f>
        <v/>
      </c>
    </row>
    <row r="69" ht="15" customHeight="1">
      <c r="A69" t="inlineStr">
        <is>
          <t>A 11561-2020</t>
        </is>
      </c>
      <c r="B69" s="1" t="n">
        <v>43893</v>
      </c>
      <c r="C69" s="1" t="n">
        <v>45177</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f>
        <v/>
      </c>
      <c r="T69">
        <f>HYPERLINK("https://klasma.github.io/Logging_OSTERSUND/kartor/A 11561-2020.png")</f>
        <v/>
      </c>
      <c r="V69">
        <f>HYPERLINK("https://klasma.github.io/Logging_OSTERSUND/klagomål/A 11561-2020.docx")</f>
        <v/>
      </c>
      <c r="W69">
        <f>HYPERLINK("https://klasma.github.io/Logging_OSTERSUND/klagomålsmail/A 11561-2020.docx")</f>
        <v/>
      </c>
      <c r="X69">
        <f>HYPERLINK("https://klasma.github.io/Logging_OSTERSUND/tillsyn/A 11561-2020.docx")</f>
        <v/>
      </c>
      <c r="Y69">
        <f>HYPERLINK("https://klasma.github.io/Logging_OSTERSUND/tillsynsmail/A 11561-2020.docx")</f>
        <v/>
      </c>
    </row>
    <row r="70" ht="15" customHeight="1">
      <c r="A70" t="inlineStr">
        <is>
          <t>A 35980-2020</t>
        </is>
      </c>
      <c r="B70" s="1" t="n">
        <v>44047</v>
      </c>
      <c r="C70" s="1" t="n">
        <v>45177</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f>
        <v/>
      </c>
      <c r="T70">
        <f>HYPERLINK("https://klasma.github.io/Logging_OSTERSUND/kartor/A 35980-2020.png")</f>
        <v/>
      </c>
      <c r="U70">
        <f>HYPERLINK("https://klasma.github.io/Logging_OSTERSUND/knärot/A 35980-2020.png")</f>
        <v/>
      </c>
      <c r="V70">
        <f>HYPERLINK("https://klasma.github.io/Logging_OSTERSUND/klagomål/A 35980-2020.docx")</f>
        <v/>
      </c>
      <c r="W70">
        <f>HYPERLINK("https://klasma.github.io/Logging_OSTERSUND/klagomålsmail/A 35980-2020.docx")</f>
        <v/>
      </c>
      <c r="X70">
        <f>HYPERLINK("https://klasma.github.io/Logging_OSTERSUND/tillsyn/A 35980-2020.docx")</f>
        <v/>
      </c>
      <c r="Y70">
        <f>HYPERLINK("https://klasma.github.io/Logging_OSTERSUND/tillsynsmail/A 35980-2020.docx")</f>
        <v/>
      </c>
    </row>
    <row r="71" ht="15" customHeight="1">
      <c r="A71" t="inlineStr">
        <is>
          <t>A 63775-2020</t>
        </is>
      </c>
      <c r="B71" s="1" t="n">
        <v>44165</v>
      </c>
      <c r="C71" s="1" t="n">
        <v>45177</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f>
        <v/>
      </c>
      <c r="T71">
        <f>HYPERLINK("https://klasma.github.io/Logging_OSTERSUND/kartor/A 63775-2020.png")</f>
        <v/>
      </c>
      <c r="V71">
        <f>HYPERLINK("https://klasma.github.io/Logging_OSTERSUND/klagomål/A 63775-2020.docx")</f>
        <v/>
      </c>
      <c r="W71">
        <f>HYPERLINK("https://klasma.github.io/Logging_OSTERSUND/klagomålsmail/A 63775-2020.docx")</f>
        <v/>
      </c>
      <c r="X71">
        <f>HYPERLINK("https://klasma.github.io/Logging_OSTERSUND/tillsyn/A 63775-2020.docx")</f>
        <v/>
      </c>
      <c r="Y71">
        <f>HYPERLINK("https://klasma.github.io/Logging_OSTERSUND/tillsynsmail/A 63775-2020.docx")</f>
        <v/>
      </c>
    </row>
    <row r="72" ht="15" customHeight="1">
      <c r="A72" t="inlineStr">
        <is>
          <t>A 13362-2021</t>
        </is>
      </c>
      <c r="B72" s="1" t="n">
        <v>44272</v>
      </c>
      <c r="C72" s="1" t="n">
        <v>45177</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f>
        <v/>
      </c>
      <c r="T72">
        <f>HYPERLINK("https://klasma.github.io/Logging_OSTERSUND/kartor/A 13362-2021.png")</f>
        <v/>
      </c>
      <c r="V72">
        <f>HYPERLINK("https://klasma.github.io/Logging_OSTERSUND/klagomål/A 13362-2021.docx")</f>
        <v/>
      </c>
      <c r="W72">
        <f>HYPERLINK("https://klasma.github.io/Logging_OSTERSUND/klagomålsmail/A 13362-2021.docx")</f>
        <v/>
      </c>
      <c r="X72">
        <f>HYPERLINK("https://klasma.github.io/Logging_OSTERSUND/tillsyn/A 13362-2021.docx")</f>
        <v/>
      </c>
      <c r="Y72">
        <f>HYPERLINK("https://klasma.github.io/Logging_OSTERSUND/tillsynsmail/A 13362-2021.docx")</f>
        <v/>
      </c>
    </row>
    <row r="73" ht="15" customHeight="1">
      <c r="A73" t="inlineStr">
        <is>
          <t>A 25839-2021</t>
        </is>
      </c>
      <c r="B73" s="1" t="n">
        <v>44343</v>
      </c>
      <c r="C73" s="1" t="n">
        <v>45177</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f>
        <v/>
      </c>
      <c r="T73">
        <f>HYPERLINK("https://klasma.github.io/Logging_OSTERSUND/kartor/A 25839-2021.png")</f>
        <v/>
      </c>
      <c r="V73">
        <f>HYPERLINK("https://klasma.github.io/Logging_OSTERSUND/klagomål/A 25839-2021.docx")</f>
        <v/>
      </c>
      <c r="W73">
        <f>HYPERLINK("https://klasma.github.io/Logging_OSTERSUND/klagomålsmail/A 25839-2021.docx")</f>
        <v/>
      </c>
      <c r="X73">
        <f>HYPERLINK("https://klasma.github.io/Logging_OSTERSUND/tillsyn/A 25839-2021.docx")</f>
        <v/>
      </c>
      <c r="Y73">
        <f>HYPERLINK("https://klasma.github.io/Logging_OSTERSUND/tillsynsmail/A 25839-2021.docx")</f>
        <v/>
      </c>
    </row>
    <row r="74" ht="15" customHeight="1">
      <c r="A74" t="inlineStr">
        <is>
          <t>A 28287-2021</t>
        </is>
      </c>
      <c r="B74" s="1" t="n">
        <v>44355</v>
      </c>
      <c r="C74" s="1" t="n">
        <v>45177</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f>
        <v/>
      </c>
      <c r="T74">
        <f>HYPERLINK("https://klasma.github.io/Logging_OSTERSUND/kartor/A 28287-2021.png")</f>
        <v/>
      </c>
      <c r="V74">
        <f>HYPERLINK("https://klasma.github.io/Logging_OSTERSUND/klagomål/A 28287-2021.docx")</f>
        <v/>
      </c>
      <c r="W74">
        <f>HYPERLINK("https://klasma.github.io/Logging_OSTERSUND/klagomålsmail/A 28287-2021.docx")</f>
        <v/>
      </c>
      <c r="X74">
        <f>HYPERLINK("https://klasma.github.io/Logging_OSTERSUND/tillsyn/A 28287-2021.docx")</f>
        <v/>
      </c>
      <c r="Y74">
        <f>HYPERLINK("https://klasma.github.io/Logging_OSTERSUND/tillsynsmail/A 28287-2021.docx")</f>
        <v/>
      </c>
    </row>
    <row r="75" ht="15" customHeight="1">
      <c r="A75" t="inlineStr">
        <is>
          <t>A 28286-2021</t>
        </is>
      </c>
      <c r="B75" s="1" t="n">
        <v>44355</v>
      </c>
      <c r="C75" s="1" t="n">
        <v>45177</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f>
        <v/>
      </c>
      <c r="T75">
        <f>HYPERLINK("https://klasma.github.io/Logging_OSTERSUND/kartor/A 28286-2021.png")</f>
        <v/>
      </c>
      <c r="V75">
        <f>HYPERLINK("https://klasma.github.io/Logging_OSTERSUND/klagomål/A 28286-2021.docx")</f>
        <v/>
      </c>
      <c r="W75">
        <f>HYPERLINK("https://klasma.github.io/Logging_OSTERSUND/klagomålsmail/A 28286-2021.docx")</f>
        <v/>
      </c>
      <c r="X75">
        <f>HYPERLINK("https://klasma.github.io/Logging_OSTERSUND/tillsyn/A 28286-2021.docx")</f>
        <v/>
      </c>
      <c r="Y75">
        <f>HYPERLINK("https://klasma.github.io/Logging_OSTERSUND/tillsynsmail/A 28286-2021.docx")</f>
        <v/>
      </c>
    </row>
    <row r="76" ht="15" customHeight="1">
      <c r="A76" t="inlineStr">
        <is>
          <t>A 31328-2021</t>
        </is>
      </c>
      <c r="B76" s="1" t="n">
        <v>44368</v>
      </c>
      <c r="C76" s="1" t="n">
        <v>45177</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f>
        <v/>
      </c>
      <c r="T76">
        <f>HYPERLINK("https://klasma.github.io/Logging_OSTERSUND/kartor/A 31328-2021.png")</f>
        <v/>
      </c>
      <c r="V76">
        <f>HYPERLINK("https://klasma.github.io/Logging_OSTERSUND/klagomål/A 31328-2021.docx")</f>
        <v/>
      </c>
      <c r="W76">
        <f>HYPERLINK("https://klasma.github.io/Logging_OSTERSUND/klagomålsmail/A 31328-2021.docx")</f>
        <v/>
      </c>
      <c r="X76">
        <f>HYPERLINK("https://klasma.github.io/Logging_OSTERSUND/tillsyn/A 31328-2021.docx")</f>
        <v/>
      </c>
      <c r="Y76">
        <f>HYPERLINK("https://klasma.github.io/Logging_OSTERSUND/tillsynsmail/A 31328-2021.docx")</f>
        <v/>
      </c>
    </row>
    <row r="77" ht="15" customHeight="1">
      <c r="A77" t="inlineStr">
        <is>
          <t>A 33137-2021</t>
        </is>
      </c>
      <c r="B77" s="1" t="n">
        <v>44376</v>
      </c>
      <c r="C77" s="1" t="n">
        <v>45177</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f>
        <v/>
      </c>
      <c r="T77">
        <f>HYPERLINK("https://klasma.github.io/Logging_OSTERSUND/kartor/A 33137-2021.png")</f>
        <v/>
      </c>
      <c r="V77">
        <f>HYPERLINK("https://klasma.github.io/Logging_OSTERSUND/klagomål/A 33137-2021.docx")</f>
        <v/>
      </c>
      <c r="W77">
        <f>HYPERLINK("https://klasma.github.io/Logging_OSTERSUND/klagomålsmail/A 33137-2021.docx")</f>
        <v/>
      </c>
      <c r="X77">
        <f>HYPERLINK("https://klasma.github.io/Logging_OSTERSUND/tillsyn/A 33137-2021.docx")</f>
        <v/>
      </c>
      <c r="Y77">
        <f>HYPERLINK("https://klasma.github.io/Logging_OSTERSUND/tillsynsmail/A 33137-2021.docx")</f>
        <v/>
      </c>
    </row>
    <row r="78" ht="15" customHeight="1">
      <c r="A78" t="inlineStr">
        <is>
          <t>A 46163-2021</t>
        </is>
      </c>
      <c r="B78" s="1" t="n">
        <v>44441</v>
      </c>
      <c r="C78" s="1" t="n">
        <v>45177</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f>
        <v/>
      </c>
      <c r="T78">
        <f>HYPERLINK("https://klasma.github.io/Logging_OSTERSUND/kartor/A 46163-2021.png")</f>
        <v/>
      </c>
      <c r="V78">
        <f>HYPERLINK("https://klasma.github.io/Logging_OSTERSUND/klagomål/A 46163-2021.docx")</f>
        <v/>
      </c>
      <c r="W78">
        <f>HYPERLINK("https://klasma.github.io/Logging_OSTERSUND/klagomålsmail/A 46163-2021.docx")</f>
        <v/>
      </c>
      <c r="X78">
        <f>HYPERLINK("https://klasma.github.io/Logging_OSTERSUND/tillsyn/A 46163-2021.docx")</f>
        <v/>
      </c>
      <c r="Y78">
        <f>HYPERLINK("https://klasma.github.io/Logging_OSTERSUND/tillsynsmail/A 46163-2021.docx")</f>
        <v/>
      </c>
    </row>
    <row r="79" ht="15" customHeight="1">
      <c r="A79" t="inlineStr">
        <is>
          <t>A 55821-2021</t>
        </is>
      </c>
      <c r="B79" s="1" t="n">
        <v>44476</v>
      </c>
      <c r="C79" s="1" t="n">
        <v>45177</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f>
        <v/>
      </c>
      <c r="T79">
        <f>HYPERLINK("https://klasma.github.io/Logging_OSTERSUND/kartor/A 55821-2021.png")</f>
        <v/>
      </c>
      <c r="V79">
        <f>HYPERLINK("https://klasma.github.io/Logging_OSTERSUND/klagomål/A 55821-2021.docx")</f>
        <v/>
      </c>
      <c r="W79">
        <f>HYPERLINK("https://klasma.github.io/Logging_OSTERSUND/klagomålsmail/A 55821-2021.docx")</f>
        <v/>
      </c>
      <c r="X79">
        <f>HYPERLINK("https://klasma.github.io/Logging_OSTERSUND/tillsyn/A 55821-2021.docx")</f>
        <v/>
      </c>
      <c r="Y79">
        <f>HYPERLINK("https://klasma.github.io/Logging_OSTERSUND/tillsynsmail/A 55821-2021.docx")</f>
        <v/>
      </c>
    </row>
    <row r="80" ht="15" customHeight="1">
      <c r="A80" t="inlineStr">
        <is>
          <t>A 59433-2021</t>
        </is>
      </c>
      <c r="B80" s="1" t="n">
        <v>44491</v>
      </c>
      <c r="C80" s="1" t="n">
        <v>45177</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f>
        <v/>
      </c>
      <c r="T80">
        <f>HYPERLINK("https://klasma.github.io/Logging_OSTERSUND/kartor/A 59433-2021.png")</f>
        <v/>
      </c>
      <c r="V80">
        <f>HYPERLINK("https://klasma.github.io/Logging_OSTERSUND/klagomål/A 59433-2021.docx")</f>
        <v/>
      </c>
      <c r="W80">
        <f>HYPERLINK("https://klasma.github.io/Logging_OSTERSUND/klagomålsmail/A 59433-2021.docx")</f>
        <v/>
      </c>
      <c r="X80">
        <f>HYPERLINK("https://klasma.github.io/Logging_OSTERSUND/tillsyn/A 59433-2021.docx")</f>
        <v/>
      </c>
      <c r="Y80">
        <f>HYPERLINK("https://klasma.github.io/Logging_OSTERSUND/tillsynsmail/A 59433-2021.docx")</f>
        <v/>
      </c>
    </row>
    <row r="81" ht="15" customHeight="1">
      <c r="A81" t="inlineStr">
        <is>
          <t>A 9739-2022</t>
        </is>
      </c>
      <c r="B81" s="1" t="n">
        <v>44617</v>
      </c>
      <c r="C81" s="1" t="n">
        <v>45177</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f>
        <v/>
      </c>
      <c r="T81">
        <f>HYPERLINK("https://klasma.github.io/Logging_OSTERSUND/kartor/A 9739-2022.png")</f>
        <v/>
      </c>
      <c r="V81">
        <f>HYPERLINK("https://klasma.github.io/Logging_OSTERSUND/klagomål/A 9739-2022.docx")</f>
        <v/>
      </c>
      <c r="W81">
        <f>HYPERLINK("https://klasma.github.io/Logging_OSTERSUND/klagomålsmail/A 9739-2022.docx")</f>
        <v/>
      </c>
      <c r="X81">
        <f>HYPERLINK("https://klasma.github.io/Logging_OSTERSUND/tillsyn/A 9739-2022.docx")</f>
        <v/>
      </c>
      <c r="Y81">
        <f>HYPERLINK("https://klasma.github.io/Logging_OSTERSUND/tillsynsmail/A 9739-2022.docx")</f>
        <v/>
      </c>
    </row>
    <row r="82" ht="15" customHeight="1">
      <c r="A82" t="inlineStr">
        <is>
          <t>A 10336-2022</t>
        </is>
      </c>
      <c r="B82" s="1" t="n">
        <v>44623</v>
      </c>
      <c r="C82" s="1" t="n">
        <v>45177</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f>
        <v/>
      </c>
      <c r="T82">
        <f>HYPERLINK("https://klasma.github.io/Logging_OSTERSUND/kartor/A 10336-2022.png")</f>
        <v/>
      </c>
      <c r="V82">
        <f>HYPERLINK("https://klasma.github.io/Logging_OSTERSUND/klagomål/A 10336-2022.docx")</f>
        <v/>
      </c>
      <c r="W82">
        <f>HYPERLINK("https://klasma.github.io/Logging_OSTERSUND/klagomålsmail/A 10336-2022.docx")</f>
        <v/>
      </c>
      <c r="X82">
        <f>HYPERLINK("https://klasma.github.io/Logging_OSTERSUND/tillsyn/A 10336-2022.docx")</f>
        <v/>
      </c>
      <c r="Y82">
        <f>HYPERLINK("https://klasma.github.io/Logging_OSTERSUND/tillsynsmail/A 10336-2022.docx")</f>
        <v/>
      </c>
    </row>
    <row r="83" ht="15" customHeight="1">
      <c r="A83" t="inlineStr">
        <is>
          <t>A 19798-2022</t>
        </is>
      </c>
      <c r="B83" s="1" t="n">
        <v>44694</v>
      </c>
      <c r="C83" s="1" t="n">
        <v>45177</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f>
        <v/>
      </c>
      <c r="T83">
        <f>HYPERLINK("https://klasma.github.io/Logging_OSTERSUND/kartor/A 19798-2022.png")</f>
        <v/>
      </c>
      <c r="V83">
        <f>HYPERLINK("https://klasma.github.io/Logging_OSTERSUND/klagomål/A 19798-2022.docx")</f>
        <v/>
      </c>
      <c r="W83">
        <f>HYPERLINK("https://klasma.github.io/Logging_OSTERSUND/klagomålsmail/A 19798-2022.docx")</f>
        <v/>
      </c>
      <c r="X83">
        <f>HYPERLINK("https://klasma.github.io/Logging_OSTERSUND/tillsyn/A 19798-2022.docx")</f>
        <v/>
      </c>
      <c r="Y83">
        <f>HYPERLINK("https://klasma.github.io/Logging_OSTERSUND/tillsynsmail/A 19798-2022.docx")</f>
        <v/>
      </c>
    </row>
    <row r="84" ht="15" customHeight="1">
      <c r="A84" t="inlineStr">
        <is>
          <t>A 19796-2022</t>
        </is>
      </c>
      <c r="B84" s="1" t="n">
        <v>44694</v>
      </c>
      <c r="C84" s="1" t="n">
        <v>45177</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f>
        <v/>
      </c>
      <c r="T84">
        <f>HYPERLINK("https://klasma.github.io/Logging_OSTERSUND/kartor/A 19796-2022.png")</f>
        <v/>
      </c>
      <c r="V84">
        <f>HYPERLINK("https://klasma.github.io/Logging_OSTERSUND/klagomål/A 19796-2022.docx")</f>
        <v/>
      </c>
      <c r="W84">
        <f>HYPERLINK("https://klasma.github.io/Logging_OSTERSUND/klagomålsmail/A 19796-2022.docx")</f>
        <v/>
      </c>
      <c r="X84">
        <f>HYPERLINK("https://klasma.github.io/Logging_OSTERSUND/tillsyn/A 19796-2022.docx")</f>
        <v/>
      </c>
      <c r="Y84">
        <f>HYPERLINK("https://klasma.github.io/Logging_OSTERSUND/tillsynsmail/A 19796-2022.docx")</f>
        <v/>
      </c>
    </row>
    <row r="85" ht="15" customHeight="1">
      <c r="A85" t="inlineStr">
        <is>
          <t>A 27576-2022</t>
        </is>
      </c>
      <c r="B85" s="1" t="n">
        <v>44742</v>
      </c>
      <c r="C85" s="1" t="n">
        <v>45177</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f>
        <v/>
      </c>
      <c r="T85">
        <f>HYPERLINK("https://klasma.github.io/Logging_OSTERSUND/kartor/A 27576-2022.png")</f>
        <v/>
      </c>
      <c r="U85">
        <f>HYPERLINK("https://klasma.github.io/Logging_OSTERSUND/knärot/A 27576-2022.png")</f>
        <v/>
      </c>
      <c r="V85">
        <f>HYPERLINK("https://klasma.github.io/Logging_OSTERSUND/klagomål/A 27576-2022.docx")</f>
        <v/>
      </c>
      <c r="W85">
        <f>HYPERLINK("https://klasma.github.io/Logging_OSTERSUND/klagomålsmail/A 27576-2022.docx")</f>
        <v/>
      </c>
      <c r="X85">
        <f>HYPERLINK("https://klasma.github.io/Logging_OSTERSUND/tillsyn/A 27576-2022.docx")</f>
        <v/>
      </c>
      <c r="Y85">
        <f>HYPERLINK("https://klasma.github.io/Logging_OSTERSUND/tillsynsmail/A 27576-2022.docx")</f>
        <v/>
      </c>
    </row>
    <row r="86" ht="15" customHeight="1">
      <c r="A86" t="inlineStr">
        <is>
          <t>A 27578-2022</t>
        </is>
      </c>
      <c r="B86" s="1" t="n">
        <v>44742</v>
      </c>
      <c r="C86" s="1" t="n">
        <v>45177</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f>
        <v/>
      </c>
      <c r="T86">
        <f>HYPERLINK("https://klasma.github.io/Logging_OSTERSUND/kartor/A 27578-2022.png")</f>
        <v/>
      </c>
      <c r="V86">
        <f>HYPERLINK("https://klasma.github.io/Logging_OSTERSUND/klagomål/A 27578-2022.docx")</f>
        <v/>
      </c>
      <c r="W86">
        <f>HYPERLINK("https://klasma.github.io/Logging_OSTERSUND/klagomålsmail/A 27578-2022.docx")</f>
        <v/>
      </c>
      <c r="X86">
        <f>HYPERLINK("https://klasma.github.io/Logging_OSTERSUND/tillsyn/A 27578-2022.docx")</f>
        <v/>
      </c>
      <c r="Y86">
        <f>HYPERLINK("https://klasma.github.io/Logging_OSTERSUND/tillsynsmail/A 27578-2022.docx")</f>
        <v/>
      </c>
    </row>
    <row r="87" ht="15" customHeight="1">
      <c r="A87" t="inlineStr">
        <is>
          <t>A 29827-2022</t>
        </is>
      </c>
      <c r="B87" s="1" t="n">
        <v>44755</v>
      </c>
      <c r="C87" s="1" t="n">
        <v>45177</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f>
        <v/>
      </c>
      <c r="T87">
        <f>HYPERLINK("https://klasma.github.io/Logging_OSTERSUND/kartor/A 29827-2022.png")</f>
        <v/>
      </c>
      <c r="V87">
        <f>HYPERLINK("https://klasma.github.io/Logging_OSTERSUND/klagomål/A 29827-2022.docx")</f>
        <v/>
      </c>
      <c r="W87">
        <f>HYPERLINK("https://klasma.github.io/Logging_OSTERSUND/klagomålsmail/A 29827-2022.docx")</f>
        <v/>
      </c>
      <c r="X87">
        <f>HYPERLINK("https://klasma.github.io/Logging_OSTERSUND/tillsyn/A 29827-2022.docx")</f>
        <v/>
      </c>
      <c r="Y87">
        <f>HYPERLINK("https://klasma.github.io/Logging_OSTERSUND/tillsynsmail/A 29827-2022.docx")</f>
        <v/>
      </c>
    </row>
    <row r="88" ht="15" customHeight="1">
      <c r="A88" t="inlineStr">
        <is>
          <t>A 33267-2022</t>
        </is>
      </c>
      <c r="B88" s="1" t="n">
        <v>44785</v>
      </c>
      <c r="C88" s="1" t="n">
        <v>45177</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f>
        <v/>
      </c>
      <c r="T88">
        <f>HYPERLINK("https://klasma.github.io/Logging_OSTERSUND/kartor/A 33267-2022.png")</f>
        <v/>
      </c>
      <c r="V88">
        <f>HYPERLINK("https://klasma.github.io/Logging_OSTERSUND/klagomål/A 33267-2022.docx")</f>
        <v/>
      </c>
      <c r="W88">
        <f>HYPERLINK("https://klasma.github.io/Logging_OSTERSUND/klagomålsmail/A 33267-2022.docx")</f>
        <v/>
      </c>
      <c r="X88">
        <f>HYPERLINK("https://klasma.github.io/Logging_OSTERSUND/tillsyn/A 33267-2022.docx")</f>
        <v/>
      </c>
      <c r="Y88">
        <f>HYPERLINK("https://klasma.github.io/Logging_OSTERSUND/tillsynsmail/A 33267-2022.docx")</f>
        <v/>
      </c>
    </row>
    <row r="89" ht="15" customHeight="1">
      <c r="A89" t="inlineStr">
        <is>
          <t>A 45441-2022</t>
        </is>
      </c>
      <c r="B89" s="1" t="n">
        <v>44844</v>
      </c>
      <c r="C89" s="1" t="n">
        <v>45177</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f>
        <v/>
      </c>
      <c r="T89">
        <f>HYPERLINK("https://klasma.github.io/Logging_OSTERSUND/kartor/A 45441-2022.png")</f>
        <v/>
      </c>
      <c r="V89">
        <f>HYPERLINK("https://klasma.github.io/Logging_OSTERSUND/klagomål/A 45441-2022.docx")</f>
        <v/>
      </c>
      <c r="W89">
        <f>HYPERLINK("https://klasma.github.io/Logging_OSTERSUND/klagomålsmail/A 45441-2022.docx")</f>
        <v/>
      </c>
      <c r="X89">
        <f>HYPERLINK("https://klasma.github.io/Logging_OSTERSUND/tillsyn/A 45441-2022.docx")</f>
        <v/>
      </c>
      <c r="Y89">
        <f>HYPERLINK("https://klasma.github.io/Logging_OSTERSUND/tillsynsmail/A 45441-2022.docx")</f>
        <v/>
      </c>
    </row>
    <row r="90" ht="15" customHeight="1">
      <c r="A90" t="inlineStr">
        <is>
          <t>A 56245-2022</t>
        </is>
      </c>
      <c r="B90" s="1" t="n">
        <v>44890</v>
      </c>
      <c r="C90" s="1" t="n">
        <v>45177</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f>
        <v/>
      </c>
      <c r="T90">
        <f>HYPERLINK("https://klasma.github.io/Logging_OSTERSUND/kartor/A 56245-2022.png")</f>
        <v/>
      </c>
      <c r="V90">
        <f>HYPERLINK("https://klasma.github.io/Logging_OSTERSUND/klagomål/A 56245-2022.docx")</f>
        <v/>
      </c>
      <c r="W90">
        <f>HYPERLINK("https://klasma.github.io/Logging_OSTERSUND/klagomålsmail/A 56245-2022.docx")</f>
        <v/>
      </c>
      <c r="X90">
        <f>HYPERLINK("https://klasma.github.io/Logging_OSTERSUND/tillsyn/A 56245-2022.docx")</f>
        <v/>
      </c>
      <c r="Y90">
        <f>HYPERLINK("https://klasma.github.io/Logging_OSTERSUND/tillsynsmail/A 56245-2022.docx")</f>
        <v/>
      </c>
    </row>
    <row r="91" ht="15" customHeight="1">
      <c r="A91" t="inlineStr">
        <is>
          <t>A 58181-2022</t>
        </is>
      </c>
      <c r="B91" s="1" t="n">
        <v>44900</v>
      </c>
      <c r="C91" s="1" t="n">
        <v>45177</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f>
        <v/>
      </c>
      <c r="T91">
        <f>HYPERLINK("https://klasma.github.io/Logging_OSTERSUND/kartor/A 58181-2022.png")</f>
        <v/>
      </c>
      <c r="V91">
        <f>HYPERLINK("https://klasma.github.io/Logging_OSTERSUND/klagomål/A 58181-2022.docx")</f>
        <v/>
      </c>
      <c r="W91">
        <f>HYPERLINK("https://klasma.github.io/Logging_OSTERSUND/klagomålsmail/A 58181-2022.docx")</f>
        <v/>
      </c>
      <c r="X91">
        <f>HYPERLINK("https://klasma.github.io/Logging_OSTERSUND/tillsyn/A 58181-2022.docx")</f>
        <v/>
      </c>
      <c r="Y91">
        <f>HYPERLINK("https://klasma.github.io/Logging_OSTERSUND/tillsynsmail/A 58181-2022.docx")</f>
        <v/>
      </c>
    </row>
    <row r="92" ht="15" customHeight="1">
      <c r="A92" t="inlineStr">
        <is>
          <t>A 59739-2022</t>
        </is>
      </c>
      <c r="B92" s="1" t="n">
        <v>44908</v>
      </c>
      <c r="C92" s="1" t="n">
        <v>45177</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f>
        <v/>
      </c>
      <c r="T92">
        <f>HYPERLINK("https://klasma.github.io/Logging_OSTERSUND/kartor/A 59739-2022.png")</f>
        <v/>
      </c>
      <c r="V92">
        <f>HYPERLINK("https://klasma.github.io/Logging_OSTERSUND/klagomål/A 59739-2022.docx")</f>
        <v/>
      </c>
      <c r="W92">
        <f>HYPERLINK("https://klasma.github.io/Logging_OSTERSUND/klagomålsmail/A 59739-2022.docx")</f>
        <v/>
      </c>
      <c r="X92">
        <f>HYPERLINK("https://klasma.github.io/Logging_OSTERSUND/tillsyn/A 59739-2022.docx")</f>
        <v/>
      </c>
      <c r="Y92">
        <f>HYPERLINK("https://klasma.github.io/Logging_OSTERSUND/tillsynsmail/A 59739-2022.docx")</f>
        <v/>
      </c>
    </row>
    <row r="93" ht="15" customHeight="1">
      <c r="A93" t="inlineStr">
        <is>
          <t>A 28980-2023</t>
        </is>
      </c>
      <c r="B93" s="1" t="n">
        <v>45096</v>
      </c>
      <c r="C93" s="1" t="n">
        <v>45177</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f>
        <v/>
      </c>
      <c r="T93">
        <f>HYPERLINK("https://klasma.github.io/Logging_OSTERSUND/kartor/A 28980-2023.png")</f>
        <v/>
      </c>
      <c r="V93">
        <f>HYPERLINK("https://klasma.github.io/Logging_OSTERSUND/klagomål/A 28980-2023.docx")</f>
        <v/>
      </c>
      <c r="W93">
        <f>HYPERLINK("https://klasma.github.io/Logging_OSTERSUND/klagomålsmail/A 28980-2023.docx")</f>
        <v/>
      </c>
      <c r="X93">
        <f>HYPERLINK("https://klasma.github.io/Logging_OSTERSUND/tillsyn/A 28980-2023.docx")</f>
        <v/>
      </c>
      <c r="Y93">
        <f>HYPERLINK("https://klasma.github.io/Logging_OSTERSUND/tillsynsmail/A 28980-2023.docx")</f>
        <v/>
      </c>
    </row>
    <row r="94" ht="15" customHeight="1">
      <c r="A94" t="inlineStr">
        <is>
          <t>A 33963-2018</t>
        </is>
      </c>
      <c r="B94" s="1" t="n">
        <v>43314</v>
      </c>
      <c r="C94" s="1" t="n">
        <v>45177</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45177</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45177</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45177</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45177</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45177</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45177</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45177</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45177</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45177</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45177</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45177</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45177</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45177</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45177</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45177</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45177</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45177</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45177</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45177</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45177</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45177</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45177</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45177</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45177</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45177</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45177</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45177</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45177</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45177</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45177</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45177</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45177</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45177</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45177</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45177</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45177</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45177</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45177</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45177</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45177</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45177</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45177</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45177</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45177</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45177</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45177</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45177</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45177</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45177</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45177</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45177</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45177</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45177</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45177</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45177</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45177</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45177</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45177</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45177</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45177</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45177</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45177</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45177</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45177</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45177</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45177</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45177</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45177</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45177</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45177</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45177</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45177</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45177</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45177</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45177</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45177</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45177</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45177</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45177</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45177</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45177</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45177</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45177</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45177</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45177</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45177</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45177</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45177</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45177</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45177</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45177</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45177</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45177</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45177</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45177</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45177</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45177</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45177</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45177</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45177</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45177</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45177</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45177</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45177</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45177</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45177</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45177</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45177</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45177</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45177</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45177</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45177</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45177</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45177</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45177</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45177</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45177</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45177</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45177</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45177</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45177</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45177</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45177</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45177</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45177</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45177</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45177</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45177</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45177</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45177</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45177</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45177</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45177</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45177</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45177</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45177</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45177</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45177</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45177</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45177</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45177</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45177</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45177</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45177</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45177</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45177</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45177</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45177</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45177</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45177</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45177</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45177</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45177</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45177</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45177</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45177</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45177</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45177</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45177</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45177</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45177</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45177</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45177</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45177</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45177</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45177</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45177</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45177</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45177</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45177</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45177</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45177</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45177</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45177</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45177</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45177</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45177</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45177</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45177</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45177</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45177</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45177</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45177</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45177</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45177</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45177</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45177</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45177</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45177</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45177</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45177</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45177</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45177</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45177</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45177</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45177</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45177</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45177</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45177</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45177</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45177</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45177</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45177</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45177</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45177</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45177</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45177</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45177</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45177</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45177</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45177</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45177</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45177</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45177</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45177</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45177</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45177</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45177</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45177</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45177</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45177</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45177</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45177</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45177</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45177</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45177</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45177</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45177</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45177</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45177</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45177</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45177</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45177</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45177</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45177</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45177</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45177</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45177</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45177</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45177</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45177</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45177</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45177</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45177</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45177</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45177</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45177</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45177</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45177</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45177</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45177</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45177</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45177</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45177</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45177</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45177</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45177</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45177</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45177</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45177</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45177</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45177</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45177</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45177</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45177</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45177</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45177</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45177</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45177</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45177</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45177</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45177</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45177</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45177</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45177</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45177</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45177</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45177</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45177</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45177</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45177</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45177</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45177</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45177</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45177</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45177</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45177</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45177</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45177</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45177</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45177</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45177</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45177</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45177</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45177</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45177</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45177</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45177</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f>
        <v/>
      </c>
      <c r="V392">
        <f>HYPERLINK("https://klasma.github.io/Logging_OSTERSUND/klagomål/A 27575-2022.docx")</f>
        <v/>
      </c>
      <c r="W392">
        <f>HYPERLINK("https://klasma.github.io/Logging_OSTERSUND/klagomålsmail/A 27575-2022.docx")</f>
        <v/>
      </c>
      <c r="X392">
        <f>HYPERLINK("https://klasma.github.io/Logging_OSTERSUND/tillsyn/A 27575-2022.docx")</f>
        <v/>
      </c>
      <c r="Y392">
        <f>HYPERLINK("https://klasma.github.io/Logging_OSTERSUND/tillsynsmail/A 27575-2022.docx")</f>
        <v/>
      </c>
    </row>
    <row r="393" ht="15" customHeight="1">
      <c r="A393" t="inlineStr">
        <is>
          <t>A 27780-2022</t>
        </is>
      </c>
      <c r="B393" s="1" t="n">
        <v>44743</v>
      </c>
      <c r="C393" s="1" t="n">
        <v>45177</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45177</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45177</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45177</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45177</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45177</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45177</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45177</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45177</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45177</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45177</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45177</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45177</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45177</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45177</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45177</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45177</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45177</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45177</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45177</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45177</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45177</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45177</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45177</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45177</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45177</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45177</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45177</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45177</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45177</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45177</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45177</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45177</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45177</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45177</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45177</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45177</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45177</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45177</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45177</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45177</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45177</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45177</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45177</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45177</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45177</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45177</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45177</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45177</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45177</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45177</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45177</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45177</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45177</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45177</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45177</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45177</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45177</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45177</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45177</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45177</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45177</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45177</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45177</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45177</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45177</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45177</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45177</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45177</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45177</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45177</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45177</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45177</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45177</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45177</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45177</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45177</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45177</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45177</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45177</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45177</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45177</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45177</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45177</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45177</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45177</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45177</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45177</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45177</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45177</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45177</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45177</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45177</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45177</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45177</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45177</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45177</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45177</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45177</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45177</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45177</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45177</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45177</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45177</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45177</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45177</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45177</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45177</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45177</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45177</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45177</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45177</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45177</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45177</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45177</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45177</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45177</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45177</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45177</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45177</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45177</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c r="A514" t="inlineStr">
        <is>
          <t>A 40423-2023</t>
        </is>
      </c>
      <c r="B514" s="1" t="n">
        <v>45169</v>
      </c>
      <c r="C514" s="1" t="n">
        <v>45177</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2023-09-08T04:37:19Z</dcterms:created>
  <dcterms:modified xmlns:dcterms="http://purl.org/dc/terms/" xmlns:xsi="http://www.w3.org/2001/XMLSchema-instance" xsi:type="dcterms:W3CDTF">2023-09-08T04:37:19Z</dcterms:modified>
</cp:coreProperties>
</file>