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29992-2023</t>
        </is>
      </c>
      <c r="B2" s="1" t="n">
        <v>45109</v>
      </c>
      <c r="C2" s="1" t="n">
        <v>45172</v>
      </c>
      <c r="D2" t="inlineStr">
        <is>
          <t>JÄMTLANDS LÄN</t>
        </is>
      </c>
      <c r="E2" t="inlineStr">
        <is>
          <t>ÖSTERSUND</t>
        </is>
      </c>
      <c r="G2" t="n">
        <v>93.3</v>
      </c>
      <c r="H2" t="n">
        <v>8</v>
      </c>
      <c r="I2" t="n">
        <v>11</v>
      </c>
      <c r="J2" t="n">
        <v>10</v>
      </c>
      <c r="K2" t="n">
        <v>3</v>
      </c>
      <c r="L2" t="n">
        <v>1</v>
      </c>
      <c r="M2" t="n">
        <v>0</v>
      </c>
      <c r="N2" t="n">
        <v>0</v>
      </c>
      <c r="O2" t="n">
        <v>14</v>
      </c>
      <c r="P2" t="n">
        <v>4</v>
      </c>
      <c r="Q2" t="n">
        <v>28</v>
      </c>
      <c r="R2" s="2" t="inlineStr">
        <is>
          <t>Blylav
Knärot
Rynkskinn
Smalskaftslav
Barrviolspindling
Garnlav
Granticka
Harticka
Lunglav
Skrovellav
Tretåig hackspett
Ullticka
Vedskivlav
Vedtrappmossa
Bårdlav
Finbräken
Guckusko
Korallblylav
Kransrams
Spindelblomster
Stuplav
Svavelriska
Tibast
Tvåblad
Vedticka
Brudsporre
Fläcknycklar
Blåsippa</t>
        </is>
      </c>
      <c r="S2">
        <f>HYPERLINK("https://klasma.github.io/Logging_OSTERSUND/artfynd/A 29992-2023.xlsx")</f>
        <v/>
      </c>
      <c r="T2">
        <f>HYPERLINK("https://klasma.github.io/Logging_OSTERSUND/kartor/A 29992-2023.png")</f>
        <v/>
      </c>
      <c r="U2">
        <f>HYPERLINK("https://klasma.github.io/Logging_OSTERSUND/knärot/A 29992-2023.png")</f>
        <v/>
      </c>
      <c r="V2">
        <f>HYPERLINK("https://klasma.github.io/Logging_OSTERSUND/klagomål/A 29992-2023.docx")</f>
        <v/>
      </c>
      <c r="W2">
        <f>HYPERLINK("https://klasma.github.io/Logging_OSTERSUND/klagomålsmail/A 29992-2023.docx")</f>
        <v/>
      </c>
      <c r="X2">
        <f>HYPERLINK("https://klasma.github.io/Logging_OSTERSUND/tillsyn/A 29992-2023.docx")</f>
        <v/>
      </c>
      <c r="Y2">
        <f>HYPERLINK("https://klasma.github.io/Logging_OSTERSUND/tillsynsmail/A 29992-2023.docx")</f>
        <v/>
      </c>
    </row>
    <row r="3" ht="15" customHeight="1">
      <c r="A3" t="inlineStr">
        <is>
          <t>A 51192-2019</t>
        </is>
      </c>
      <c r="B3" s="1" t="n">
        <v>43739</v>
      </c>
      <c r="C3" s="1" t="n">
        <v>45172</v>
      </c>
      <c r="D3" t="inlineStr">
        <is>
          <t>JÄMTLANDS LÄN</t>
        </is>
      </c>
      <c r="E3" t="inlineStr">
        <is>
          <t>ÖSTERSUND</t>
        </is>
      </c>
      <c r="F3" t="inlineStr">
        <is>
          <t>Kommuner</t>
        </is>
      </c>
      <c r="G3" t="n">
        <v>14.6</v>
      </c>
      <c r="H3" t="n">
        <v>11</v>
      </c>
      <c r="I3" t="n">
        <v>12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23</v>
      </c>
      <c r="R3" s="2" t="inlineStr">
        <is>
          <t>Knärot
Granticka
Rosenticka
Spillkråka
Talltita
Ullticka
Vedtrappmossa
Finbräken
Fjällig taggsvamp s.str.
Grönkulla
Korallrot
Skogshakmossa
Spindelblomster
Trådticka
Tvåblad
Underviol
Vedticka
Vårärt
Ögonpyrola
Brudsporre
Fläcknycklar
Blåsippa
Revlummer</t>
        </is>
      </c>
      <c r="S3">
        <f>HYPERLINK("https://klasma.github.io/Logging_OSTERSUND/artfynd/A 51192-2019.xlsx")</f>
        <v/>
      </c>
      <c r="T3">
        <f>HYPERLINK("https://klasma.github.io/Logging_OSTERSUND/kartor/A 51192-2019.png")</f>
        <v/>
      </c>
      <c r="U3">
        <f>HYPERLINK("https://klasma.github.io/Logging_OSTERSUND/knärot/A 51192-2019.png")</f>
        <v/>
      </c>
      <c r="V3">
        <f>HYPERLINK("https://klasma.github.io/Logging_OSTERSUND/klagomål/A 51192-2019.docx")</f>
        <v/>
      </c>
      <c r="W3">
        <f>HYPERLINK("https://klasma.github.io/Logging_OSTERSUND/klagomålsmail/A 51192-2019.docx")</f>
        <v/>
      </c>
      <c r="X3">
        <f>HYPERLINK("https://klasma.github.io/Logging_OSTERSUND/tillsyn/A 51192-2019.docx")</f>
        <v/>
      </c>
      <c r="Y3">
        <f>HYPERLINK("https://klasma.github.io/Logging_OSTERSUND/tillsynsmail/A 51192-2019.docx")</f>
        <v/>
      </c>
    </row>
    <row r="4" ht="15" customHeight="1">
      <c r="A4" t="inlineStr">
        <is>
          <t>A 37096-2023</t>
        </is>
      </c>
      <c r="B4" s="1" t="n">
        <v>45155</v>
      </c>
      <c r="C4" s="1" t="n">
        <v>45172</v>
      </c>
      <c r="D4" t="inlineStr">
        <is>
          <t>JÄMTLANDS LÄN</t>
        </is>
      </c>
      <c r="E4" t="inlineStr">
        <is>
          <t>ÖSTERSUND</t>
        </is>
      </c>
      <c r="G4" t="n">
        <v>70.59999999999999</v>
      </c>
      <c r="H4" t="n">
        <v>8</v>
      </c>
      <c r="I4" t="n">
        <v>7</v>
      </c>
      <c r="J4" t="n">
        <v>6</v>
      </c>
      <c r="K4" t="n">
        <v>5</v>
      </c>
      <c r="L4" t="n">
        <v>0</v>
      </c>
      <c r="M4" t="n">
        <v>0</v>
      </c>
      <c r="N4" t="n">
        <v>0</v>
      </c>
      <c r="O4" t="n">
        <v>11</v>
      </c>
      <c r="P4" t="n">
        <v>5</v>
      </c>
      <c r="Q4" t="n">
        <v>21</v>
      </c>
      <c r="R4" s="2" t="inlineStr">
        <is>
          <t>Fjällfotad musseron
Knärot
Läderdoftande fingersvamp
Skäggvaxskivling
Smalskaftslav
Flattoppad klubbsvamp
Luddfingersvamp
Rödbrun klubbdyna
Skogsfru
Vitterspindling
Äggvaxskivling
Dropptaggsvamp
Finbräken
Guckusko
Skinnlav
Skogsknipprot
Svavelriska
Tvåblad
Brudsporre
Fläcknycklar
Ängsnycklar</t>
        </is>
      </c>
      <c r="S4">
        <f>HYPERLINK("https://klasma.github.io/Logging_OSTERSUND/artfynd/A 37096-2023.xlsx")</f>
        <v/>
      </c>
      <c r="T4">
        <f>HYPERLINK("https://klasma.github.io/Logging_OSTERSUND/kartor/A 37096-2023.png")</f>
        <v/>
      </c>
      <c r="U4">
        <f>HYPERLINK("https://klasma.github.io/Logging_OSTERSUND/knärot/A 37096-2023.png")</f>
        <v/>
      </c>
      <c r="V4">
        <f>HYPERLINK("https://klasma.github.io/Logging_OSTERSUND/klagomål/A 37096-2023.docx")</f>
        <v/>
      </c>
      <c r="W4">
        <f>HYPERLINK("https://klasma.github.io/Logging_OSTERSUND/klagomålsmail/A 37096-2023.docx")</f>
        <v/>
      </c>
      <c r="X4">
        <f>HYPERLINK("https://klasma.github.io/Logging_OSTERSUND/tillsyn/A 37096-2023.docx")</f>
        <v/>
      </c>
      <c r="Y4">
        <f>HYPERLINK("https://klasma.github.io/Logging_OSTERSUND/tillsynsmail/A 37096-2023.docx")</f>
        <v/>
      </c>
    </row>
    <row r="5" ht="15" customHeight="1">
      <c r="A5" t="inlineStr">
        <is>
          <t>A 60950-2019</t>
        </is>
      </c>
      <c r="B5" s="1" t="n">
        <v>43782</v>
      </c>
      <c r="C5" s="1" t="n">
        <v>45172</v>
      </c>
      <c r="D5" t="inlineStr">
        <is>
          <t>JÄMTLANDS LÄN</t>
        </is>
      </c>
      <c r="E5" t="inlineStr">
        <is>
          <t>ÖSTERSUND</t>
        </is>
      </c>
      <c r="G5" t="n">
        <v>12.8</v>
      </c>
      <c r="H5" t="n">
        <v>1</v>
      </c>
      <c r="I5" t="n">
        <v>1</v>
      </c>
      <c r="J5" t="n">
        <v>10</v>
      </c>
      <c r="K5" t="n">
        <v>8</v>
      </c>
      <c r="L5" t="n">
        <v>1</v>
      </c>
      <c r="M5" t="n">
        <v>0</v>
      </c>
      <c r="N5" t="n">
        <v>0</v>
      </c>
      <c r="O5" t="n">
        <v>19</v>
      </c>
      <c r="P5" t="n">
        <v>9</v>
      </c>
      <c r="Q5" t="n">
        <v>20</v>
      </c>
      <c r="R5" s="2" t="inlineStr">
        <is>
          <t>Violett guldvinge
Fjällfotad fingersvamp
Fjällfotad musseron
Grangråticka
Läderdoftande fingersvamp
Rynkskinn
Spricktaggsvamp
Svartfjällig musseron
Taggfingersvamp
Blek fingersvamp
Dofttaggsvamp
Druvfingersvamp
Flattoppad klubbsvamp
Gultoppig fingersvamp
Orange taggsvamp
Rosenticka
Rödbrun klubbdyna
Ullticka
Äggvaxskivling
Granriska</t>
        </is>
      </c>
      <c r="S5">
        <f>HYPERLINK("https://klasma.github.io/Logging_OSTERSUND/artfynd/A 60950-2019.xlsx")</f>
        <v/>
      </c>
      <c r="T5">
        <f>HYPERLINK("https://klasma.github.io/Logging_OSTERSUND/kartor/A 60950-2019.png")</f>
        <v/>
      </c>
      <c r="V5">
        <f>HYPERLINK("https://klasma.github.io/Logging_OSTERSUND/klagomål/A 60950-2019.docx")</f>
        <v/>
      </c>
      <c r="W5">
        <f>HYPERLINK("https://klasma.github.io/Logging_OSTERSUND/klagomålsmail/A 60950-2019.docx")</f>
        <v/>
      </c>
      <c r="X5">
        <f>HYPERLINK("https://klasma.github.io/Logging_OSTERSUND/tillsyn/A 60950-2019.docx")</f>
        <v/>
      </c>
      <c r="Y5">
        <f>HYPERLINK("https://klasma.github.io/Logging_OSTERSUND/tillsynsmail/A 60950-2019.docx")</f>
        <v/>
      </c>
    </row>
    <row r="6" ht="15" customHeight="1">
      <c r="A6" t="inlineStr">
        <is>
          <t>A 26155-2021</t>
        </is>
      </c>
      <c r="B6" s="1" t="n">
        <v>44344</v>
      </c>
      <c r="C6" s="1" t="n">
        <v>45172</v>
      </c>
      <c r="D6" t="inlineStr">
        <is>
          <t>JÄMTLANDS LÄN</t>
        </is>
      </c>
      <c r="E6" t="inlineStr">
        <is>
          <t>ÖSTERSUND</t>
        </is>
      </c>
      <c r="G6" t="n">
        <v>20.4</v>
      </c>
      <c r="H6" t="n">
        <v>6</v>
      </c>
      <c r="I6" t="n">
        <v>5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17</v>
      </c>
      <c r="R6" s="2" t="inlineStr">
        <is>
          <t>Knärot
Rynkskinn
Garnlav
Granticka
Gultoppig fingersvamp
Lunglav
Rosenticka
Skrovellav
Tretåig hackspett
Ullticka
Vedtrappmossa
Korallrot
Luddlav
Spindelblomster
Stuplav
Tvåblad
Fläcknycklar</t>
        </is>
      </c>
      <c r="S6">
        <f>HYPERLINK("https://klasma.github.io/Logging_OSTERSUND/artfynd/A 26155-2021.xlsx")</f>
        <v/>
      </c>
      <c r="T6">
        <f>HYPERLINK("https://klasma.github.io/Logging_OSTERSUND/kartor/A 26155-2021.png")</f>
        <v/>
      </c>
      <c r="U6">
        <f>HYPERLINK("https://klasma.github.io/Logging_OSTERSUND/knärot/A 26155-2021.png")</f>
        <v/>
      </c>
      <c r="V6">
        <f>HYPERLINK("https://klasma.github.io/Logging_OSTERSUND/klagomål/A 26155-2021.docx")</f>
        <v/>
      </c>
      <c r="W6">
        <f>HYPERLINK("https://klasma.github.io/Logging_OSTERSUND/klagomålsmail/A 26155-2021.docx")</f>
        <v/>
      </c>
      <c r="X6">
        <f>HYPERLINK("https://klasma.github.io/Logging_OSTERSUND/tillsyn/A 26155-2021.docx")</f>
        <v/>
      </c>
      <c r="Y6">
        <f>HYPERLINK("https://klasma.github.io/Logging_OSTERSUND/tillsynsmail/A 26155-2021.docx")</f>
        <v/>
      </c>
    </row>
    <row r="7" ht="15" customHeight="1">
      <c r="A7" t="inlineStr">
        <is>
          <t>A 67457-2019</t>
        </is>
      </c>
      <c r="B7" s="1" t="n">
        <v>43813</v>
      </c>
      <c r="C7" s="1" t="n">
        <v>45172</v>
      </c>
      <c r="D7" t="inlineStr">
        <is>
          <t>JÄMTLANDS LÄN</t>
        </is>
      </c>
      <c r="E7" t="inlineStr">
        <is>
          <t>ÖSTERSUND</t>
        </is>
      </c>
      <c r="G7" t="n">
        <v>8.300000000000001</v>
      </c>
      <c r="H7" t="n">
        <v>4</v>
      </c>
      <c r="I7" t="n">
        <v>6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16</v>
      </c>
      <c r="R7" s="2" t="inlineStr">
        <is>
          <t>Bitter taggsvamp
Rynkskinn
Grantaggsvamp
Harticka
Lunglav
Rödbrun klubbdyna
Svartvit taggsvamp
Tallriska
Talltita
Dropptaggsvamp
Finbräken
Grönpyrola
Guckusko
Skarp dropptaggsvamp
Tvåblad
Fläcknycklar</t>
        </is>
      </c>
      <c r="S7">
        <f>HYPERLINK("https://klasma.github.io/Logging_OSTERSUND/artfynd/A 67457-2019.xlsx")</f>
        <v/>
      </c>
      <c r="T7">
        <f>HYPERLINK("https://klasma.github.io/Logging_OSTERSUND/kartor/A 67457-2019.png")</f>
        <v/>
      </c>
      <c r="V7">
        <f>HYPERLINK("https://klasma.github.io/Logging_OSTERSUND/klagomål/A 67457-2019.docx")</f>
        <v/>
      </c>
      <c r="W7">
        <f>HYPERLINK("https://klasma.github.io/Logging_OSTERSUND/klagomålsmail/A 67457-2019.docx")</f>
        <v/>
      </c>
      <c r="X7">
        <f>HYPERLINK("https://klasma.github.io/Logging_OSTERSUND/tillsyn/A 67457-2019.docx")</f>
        <v/>
      </c>
      <c r="Y7">
        <f>HYPERLINK("https://klasma.github.io/Logging_OSTERSUND/tillsynsmail/A 67457-2019.docx")</f>
        <v/>
      </c>
    </row>
    <row r="8" ht="15" customHeight="1">
      <c r="A8" t="inlineStr">
        <is>
          <t>A 47280-2020</t>
        </is>
      </c>
      <c r="B8" s="1" t="n">
        <v>44097</v>
      </c>
      <c r="C8" s="1" t="n">
        <v>45172</v>
      </c>
      <c r="D8" t="inlineStr">
        <is>
          <t>JÄMTLANDS LÄN</t>
        </is>
      </c>
      <c r="E8" t="inlineStr">
        <is>
          <t>ÖSTERSUND</t>
        </is>
      </c>
      <c r="G8" t="n">
        <v>22.4</v>
      </c>
      <c r="H8" t="n">
        <v>2</v>
      </c>
      <c r="I8" t="n">
        <v>4</v>
      </c>
      <c r="J8" t="n">
        <v>3</v>
      </c>
      <c r="K8" t="n">
        <v>6</v>
      </c>
      <c r="L8" t="n">
        <v>0</v>
      </c>
      <c r="M8" t="n">
        <v>0</v>
      </c>
      <c r="N8" t="n">
        <v>0</v>
      </c>
      <c r="O8" t="n">
        <v>9</v>
      </c>
      <c r="P8" t="n">
        <v>6</v>
      </c>
      <c r="Q8" t="n">
        <v>15</v>
      </c>
      <c r="R8" s="2" t="inlineStr">
        <is>
          <t>Gyllenspindling
Jämtlandsspindling
Kopparspindling
Läderdoftande fingersvamp
Stor odörspindling
Tvillingspindling
Gultoppig fingersvamp
Persiljespindling
Puderspindling
Barrfagerspindling
Kamjordstjärna
Kryddspindling
Strimspindling
Fläcknycklar
Nattviol</t>
        </is>
      </c>
      <c r="S8">
        <f>HYPERLINK("https://klasma.github.io/Logging_OSTERSUND/artfynd/A 47280-2020.xlsx")</f>
        <v/>
      </c>
      <c r="T8">
        <f>HYPERLINK("https://klasma.github.io/Logging_OSTERSUND/kartor/A 47280-2020.png")</f>
        <v/>
      </c>
      <c r="V8">
        <f>HYPERLINK("https://klasma.github.io/Logging_OSTERSUND/klagomål/A 47280-2020.docx")</f>
        <v/>
      </c>
      <c r="W8">
        <f>HYPERLINK("https://klasma.github.io/Logging_OSTERSUND/klagomålsmail/A 47280-2020.docx")</f>
        <v/>
      </c>
      <c r="X8">
        <f>HYPERLINK("https://klasma.github.io/Logging_OSTERSUND/tillsyn/A 47280-2020.docx")</f>
        <v/>
      </c>
      <c r="Y8">
        <f>HYPERLINK("https://klasma.github.io/Logging_OSTERSUND/tillsynsmail/A 47280-2020.docx")</f>
        <v/>
      </c>
    </row>
    <row r="9" ht="15" customHeight="1">
      <c r="A9" t="inlineStr">
        <is>
          <t>A 30683-2023</t>
        </is>
      </c>
      <c r="B9" s="1" t="n">
        <v>45112</v>
      </c>
      <c r="C9" s="1" t="n">
        <v>45172</v>
      </c>
      <c r="D9" t="inlineStr">
        <is>
          <t>JÄMTLANDS LÄN</t>
        </is>
      </c>
      <c r="E9" t="inlineStr">
        <is>
          <t>ÖSTERSUND</t>
        </is>
      </c>
      <c r="G9" t="n">
        <v>3.2</v>
      </c>
      <c r="H9" t="n">
        <v>3</v>
      </c>
      <c r="I9" t="n">
        <v>2</v>
      </c>
      <c r="J9" t="n">
        <v>8</v>
      </c>
      <c r="K9" t="n">
        <v>4</v>
      </c>
      <c r="L9" t="n">
        <v>0</v>
      </c>
      <c r="M9" t="n">
        <v>0</v>
      </c>
      <c r="N9" t="n">
        <v>0</v>
      </c>
      <c r="O9" t="n">
        <v>12</v>
      </c>
      <c r="P9" t="n">
        <v>4</v>
      </c>
      <c r="Q9" t="n">
        <v>15</v>
      </c>
      <c r="R9" s="2" t="inlineStr">
        <is>
          <t>Bitter taggsvamp
Doftticka
Läderdoftande fingersvamp
Taggfingersvamp
Druvfingersvamp
Grantaggsvamp
Grynig filtlav
Gultoppig fingersvamp
Lunglav
Orange taggsvamp
Skogsfru
Slåtterfibbla
Kryddspindling
Vårärt
Skogsrör</t>
        </is>
      </c>
      <c r="S9">
        <f>HYPERLINK("https://klasma.github.io/Logging_OSTERSUND/artfynd/A 30683-2023.xlsx")</f>
        <v/>
      </c>
      <c r="T9">
        <f>HYPERLINK("https://klasma.github.io/Logging_OSTERSUND/kartor/A 30683-2023.png")</f>
        <v/>
      </c>
      <c r="V9">
        <f>HYPERLINK("https://klasma.github.io/Logging_OSTERSUND/klagomål/A 30683-2023.docx")</f>
        <v/>
      </c>
      <c r="W9">
        <f>HYPERLINK("https://klasma.github.io/Logging_OSTERSUND/klagomålsmail/A 30683-2023.docx")</f>
        <v/>
      </c>
      <c r="X9">
        <f>HYPERLINK("https://klasma.github.io/Logging_OSTERSUND/tillsyn/A 30683-2023.docx")</f>
        <v/>
      </c>
      <c r="Y9">
        <f>HYPERLINK("https://klasma.github.io/Logging_OSTERSUND/tillsynsmail/A 30683-2023.docx")</f>
        <v/>
      </c>
    </row>
    <row r="10" ht="15" customHeight="1">
      <c r="A10" t="inlineStr">
        <is>
          <t>A 39568-2022</t>
        </is>
      </c>
      <c r="B10" s="1" t="n">
        <v>44817</v>
      </c>
      <c r="C10" s="1" t="n">
        <v>45172</v>
      </c>
      <c r="D10" t="inlineStr">
        <is>
          <t>JÄMTLANDS LÄN</t>
        </is>
      </c>
      <c r="E10" t="inlineStr">
        <is>
          <t>ÖSTERSUND</t>
        </is>
      </c>
      <c r="G10" t="n">
        <v>10</v>
      </c>
      <c r="H10" t="n">
        <v>8</v>
      </c>
      <c r="I10" t="n">
        <v>8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14</v>
      </c>
      <c r="R10" s="2" t="inlineStr">
        <is>
          <t>Trolldruvemätare
Knärot
Skogsfru
Finbräken
Guckusko
Kransrams
Spindelblomster
Svart trolldruva
Trådfräken
Tvåblad
Ögonpyrola
Fläcknycklar
Blåsippa
Revlummer</t>
        </is>
      </c>
      <c r="S10">
        <f>HYPERLINK("https://klasma.github.io/Logging_OSTERSUND/artfynd/A 39568-2022.xlsx")</f>
        <v/>
      </c>
      <c r="T10">
        <f>HYPERLINK("https://klasma.github.io/Logging_OSTERSUND/kartor/A 39568-2022.png")</f>
        <v/>
      </c>
      <c r="U10">
        <f>HYPERLINK("https://klasma.github.io/Logging_OSTERSUND/knärot/A 39568-2022.png")</f>
        <v/>
      </c>
      <c r="V10">
        <f>HYPERLINK("https://klasma.github.io/Logging_OSTERSUND/klagomål/A 39568-2022.docx")</f>
        <v/>
      </c>
      <c r="W10">
        <f>HYPERLINK("https://klasma.github.io/Logging_OSTERSUND/klagomålsmail/A 39568-2022.docx")</f>
        <v/>
      </c>
      <c r="X10">
        <f>HYPERLINK("https://klasma.github.io/Logging_OSTERSUND/tillsyn/A 39568-2022.docx")</f>
        <v/>
      </c>
      <c r="Y10">
        <f>HYPERLINK("https://klasma.github.io/Logging_OSTERSUND/tillsynsmail/A 39568-2022.docx")</f>
        <v/>
      </c>
    </row>
    <row r="11" ht="15" customHeight="1">
      <c r="A11" t="inlineStr">
        <is>
          <t>A 55075-2022</t>
        </is>
      </c>
      <c r="B11" s="1" t="n">
        <v>44886</v>
      </c>
      <c r="C11" s="1" t="n">
        <v>45172</v>
      </c>
      <c r="D11" t="inlineStr">
        <is>
          <t>JÄMTLANDS LÄN</t>
        </is>
      </c>
      <c r="E11" t="inlineStr">
        <is>
          <t>ÖSTERSUND</t>
        </is>
      </c>
      <c r="F11" t="inlineStr">
        <is>
          <t>Övriga Aktiebolag</t>
        </is>
      </c>
      <c r="G11" t="n">
        <v>12.7</v>
      </c>
      <c r="H11" t="n">
        <v>7</v>
      </c>
      <c r="I11" t="n">
        <v>5</v>
      </c>
      <c r="J11" t="n">
        <v>4</v>
      </c>
      <c r="K11" t="n">
        <v>2</v>
      </c>
      <c r="L11" t="n">
        <v>0</v>
      </c>
      <c r="M11" t="n">
        <v>0</v>
      </c>
      <c r="N11" t="n">
        <v>0</v>
      </c>
      <c r="O11" t="n">
        <v>6</v>
      </c>
      <c r="P11" t="n">
        <v>2</v>
      </c>
      <c r="Q11" t="n">
        <v>14</v>
      </c>
      <c r="R11" s="2" t="inlineStr">
        <is>
          <t>Doftticka
Knärot
Garnlav
Granticka
Lunglav
Skrovellav
Bårdlav
Grönkulla
Luddlav
Spindelblomster
Stuplav
Fläcknycklar
Nattviol
Revlummer</t>
        </is>
      </c>
      <c r="S11">
        <f>HYPERLINK("https://klasma.github.io/Logging_OSTERSUND/artfynd/A 55075-2022.xlsx")</f>
        <v/>
      </c>
      <c r="T11">
        <f>HYPERLINK("https://klasma.github.io/Logging_OSTERSUND/kartor/A 55075-2022.png")</f>
        <v/>
      </c>
      <c r="U11">
        <f>HYPERLINK("https://klasma.github.io/Logging_OSTERSUND/knärot/A 55075-2022.png")</f>
        <v/>
      </c>
      <c r="V11">
        <f>HYPERLINK("https://klasma.github.io/Logging_OSTERSUND/klagomål/A 55075-2022.docx")</f>
        <v/>
      </c>
      <c r="W11">
        <f>HYPERLINK("https://klasma.github.io/Logging_OSTERSUND/klagomålsmail/A 55075-2022.docx")</f>
        <v/>
      </c>
      <c r="X11">
        <f>HYPERLINK("https://klasma.github.io/Logging_OSTERSUND/tillsyn/A 55075-2022.docx")</f>
        <v/>
      </c>
      <c r="Y11">
        <f>HYPERLINK("https://klasma.github.io/Logging_OSTERSUND/tillsynsmail/A 55075-2022.docx")</f>
        <v/>
      </c>
    </row>
    <row r="12" ht="15" customHeight="1">
      <c r="A12" t="inlineStr">
        <is>
          <t>A 47367-2022</t>
        </is>
      </c>
      <c r="B12" s="1" t="n">
        <v>44851</v>
      </c>
      <c r="C12" s="1" t="n">
        <v>45172</v>
      </c>
      <c r="D12" t="inlineStr">
        <is>
          <t>JÄMTLANDS LÄN</t>
        </is>
      </c>
      <c r="E12" t="inlineStr">
        <is>
          <t>ÖSTERSUND</t>
        </is>
      </c>
      <c r="G12" t="n">
        <v>10.6</v>
      </c>
      <c r="H12" t="n">
        <v>6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Garnlav
Granticka
Lunglav
Talltita
Vitgrynig nållav
Blodticka
Fjällig taggsvamp s.str.
Guckusko
Korallrot
Spindelblomster
Svavelriska
Tvåblad</t>
        </is>
      </c>
      <c r="S12">
        <f>HYPERLINK("https://klasma.github.io/Logging_OSTERSUND/artfynd/A 47367-2022.xlsx")</f>
        <v/>
      </c>
      <c r="T12">
        <f>HYPERLINK("https://klasma.github.io/Logging_OSTERSUND/kartor/A 47367-2022.png")</f>
        <v/>
      </c>
      <c r="U12">
        <f>HYPERLINK("https://klasma.github.io/Logging_OSTERSUND/knärot/A 47367-2022.png")</f>
        <v/>
      </c>
      <c r="V12">
        <f>HYPERLINK("https://klasma.github.io/Logging_OSTERSUND/klagomål/A 47367-2022.docx")</f>
        <v/>
      </c>
      <c r="W12">
        <f>HYPERLINK("https://klasma.github.io/Logging_OSTERSUND/klagomålsmail/A 47367-2022.docx")</f>
        <v/>
      </c>
      <c r="X12">
        <f>HYPERLINK("https://klasma.github.io/Logging_OSTERSUND/tillsyn/A 47367-2022.docx")</f>
        <v/>
      </c>
      <c r="Y12">
        <f>HYPERLINK("https://klasma.github.io/Logging_OSTERSUND/tillsynsmail/A 47367-2022.docx")</f>
        <v/>
      </c>
    </row>
    <row r="13" ht="15" customHeight="1">
      <c r="A13" t="inlineStr">
        <is>
          <t>A 2979-2023</t>
        </is>
      </c>
      <c r="B13" s="1" t="n">
        <v>44945</v>
      </c>
      <c r="C13" s="1" t="n">
        <v>45172</v>
      </c>
      <c r="D13" t="inlineStr">
        <is>
          <t>JÄMTLANDS LÄN</t>
        </is>
      </c>
      <c r="E13" t="inlineStr">
        <is>
          <t>ÖSTERSUND</t>
        </is>
      </c>
      <c r="G13" t="n">
        <v>11.5</v>
      </c>
      <c r="H13" t="n">
        <v>8</v>
      </c>
      <c r="I13" t="n">
        <v>3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13</v>
      </c>
      <c r="R13" s="2" t="inlineStr">
        <is>
          <t>Knärot
Garnlav
Granticka
Lunglav
Skogsfru
Spillkråka
Talltita
Tretåig hackspett
Luddlav
Spindelblomster
Stuplav
Mattlummer
Revlummer</t>
        </is>
      </c>
      <c r="S13">
        <f>HYPERLINK("https://klasma.github.io/Logging_OSTERSUND/artfynd/A 2979-2023.xlsx")</f>
        <v/>
      </c>
      <c r="T13">
        <f>HYPERLINK("https://klasma.github.io/Logging_OSTERSUND/kartor/A 2979-2023.png")</f>
        <v/>
      </c>
      <c r="U13">
        <f>HYPERLINK("https://klasma.github.io/Logging_OSTERSUND/knärot/A 2979-2023.png")</f>
        <v/>
      </c>
      <c r="V13">
        <f>HYPERLINK("https://klasma.github.io/Logging_OSTERSUND/klagomål/A 2979-2023.docx")</f>
        <v/>
      </c>
      <c r="W13">
        <f>HYPERLINK("https://klasma.github.io/Logging_OSTERSUND/klagomålsmail/A 2979-2023.docx")</f>
        <v/>
      </c>
      <c r="X13">
        <f>HYPERLINK("https://klasma.github.io/Logging_OSTERSUND/tillsyn/A 2979-2023.docx")</f>
        <v/>
      </c>
      <c r="Y13">
        <f>HYPERLINK("https://klasma.github.io/Logging_OSTERSUND/tillsynsmail/A 2979-2023.docx")</f>
        <v/>
      </c>
    </row>
    <row r="14" ht="15" customHeight="1">
      <c r="A14" t="inlineStr">
        <is>
          <t>A 12943-2022</t>
        </is>
      </c>
      <c r="B14" s="1" t="n">
        <v>44642</v>
      </c>
      <c r="C14" s="1" t="n">
        <v>45172</v>
      </c>
      <c r="D14" t="inlineStr">
        <is>
          <t>JÄMTLANDS LÄN</t>
        </is>
      </c>
      <c r="E14" t="inlineStr">
        <is>
          <t>ÖSTERSUND</t>
        </is>
      </c>
      <c r="G14" t="n">
        <v>10</v>
      </c>
      <c r="H14" t="n">
        <v>4</v>
      </c>
      <c r="I14" t="n">
        <v>6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11</v>
      </c>
      <c r="R14" s="2" t="inlineStr">
        <is>
          <t>Läderdoftande fingersvamp
Dofttaggsvamp
Orange taggsvamp
Talltita
Diskvaxskivling
Guckusko
Tibast
Tvåblad
Vårärt
Zontaggsvamp
Blåsippa</t>
        </is>
      </c>
      <c r="S14">
        <f>HYPERLINK("https://klasma.github.io/Logging_OSTERSUND/artfynd/A 12943-2022.xlsx")</f>
        <v/>
      </c>
      <c r="T14">
        <f>HYPERLINK("https://klasma.github.io/Logging_OSTERSUND/kartor/A 12943-2022.png")</f>
        <v/>
      </c>
      <c r="V14">
        <f>HYPERLINK("https://klasma.github.io/Logging_OSTERSUND/klagomål/A 12943-2022.docx")</f>
        <v/>
      </c>
      <c r="W14">
        <f>HYPERLINK("https://klasma.github.io/Logging_OSTERSUND/klagomålsmail/A 12943-2022.docx")</f>
        <v/>
      </c>
      <c r="X14">
        <f>HYPERLINK("https://klasma.github.io/Logging_OSTERSUND/tillsyn/A 12943-2022.docx")</f>
        <v/>
      </c>
      <c r="Y14">
        <f>HYPERLINK("https://klasma.github.io/Logging_OSTERSUND/tillsynsmail/A 12943-2022.docx")</f>
        <v/>
      </c>
    </row>
    <row r="15" ht="15" customHeight="1">
      <c r="A15" t="inlineStr">
        <is>
          <t>A 56241-2022</t>
        </is>
      </c>
      <c r="B15" s="1" t="n">
        <v>44890</v>
      </c>
      <c r="C15" s="1" t="n">
        <v>45172</v>
      </c>
      <c r="D15" t="inlineStr">
        <is>
          <t>JÄMTLANDS LÄN</t>
        </is>
      </c>
      <c r="E15" t="inlineStr">
        <is>
          <t>ÖSTERSUND</t>
        </is>
      </c>
      <c r="F15" t="inlineStr">
        <is>
          <t>Övriga Aktiebolag</t>
        </is>
      </c>
      <c r="G15" t="n">
        <v>6.4</v>
      </c>
      <c r="H15" t="n">
        <v>6</v>
      </c>
      <c r="I15" t="n">
        <v>5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11</v>
      </c>
      <c r="R15" s="2" t="inlineStr">
        <is>
          <t>Knärot
Garnlav
Järpe
Lunglav
Rosenticka
Spillkråka
Grönkulla
Norrlandslav
Spindelblomster
Tvåblad
Ögonpyrola</t>
        </is>
      </c>
      <c r="S15">
        <f>HYPERLINK("https://klasma.github.io/Logging_OSTERSUND/artfynd/A 56241-2022.xlsx")</f>
        <v/>
      </c>
      <c r="T15">
        <f>HYPERLINK("https://klasma.github.io/Logging_OSTERSUND/kartor/A 56241-2022.png")</f>
        <v/>
      </c>
      <c r="U15">
        <f>HYPERLINK("https://klasma.github.io/Logging_OSTERSUND/knärot/A 56241-2022.png")</f>
        <v/>
      </c>
      <c r="V15">
        <f>HYPERLINK("https://klasma.github.io/Logging_OSTERSUND/klagomål/A 56241-2022.docx")</f>
        <v/>
      </c>
      <c r="W15">
        <f>HYPERLINK("https://klasma.github.io/Logging_OSTERSUND/klagomålsmail/A 56241-2022.docx")</f>
        <v/>
      </c>
      <c r="X15">
        <f>HYPERLINK("https://klasma.github.io/Logging_OSTERSUND/tillsyn/A 56241-2022.docx")</f>
        <v/>
      </c>
      <c r="Y15">
        <f>HYPERLINK("https://klasma.github.io/Logging_OSTERSUND/tillsynsmail/A 56241-2022.docx")</f>
        <v/>
      </c>
    </row>
    <row r="16" ht="15" customHeight="1">
      <c r="A16" t="inlineStr">
        <is>
          <t>A 49729-2020</t>
        </is>
      </c>
      <c r="B16" s="1" t="n">
        <v>44106</v>
      </c>
      <c r="C16" s="1" t="n">
        <v>45172</v>
      </c>
      <c r="D16" t="inlineStr">
        <is>
          <t>JÄMTLANDS LÄN</t>
        </is>
      </c>
      <c r="E16" t="inlineStr">
        <is>
          <t>ÖSTERSUND</t>
        </is>
      </c>
      <c r="G16" t="n">
        <v>12.4</v>
      </c>
      <c r="H16" t="n">
        <v>2</v>
      </c>
      <c r="I16" t="n">
        <v>3</v>
      </c>
      <c r="J16" t="n">
        <v>1</v>
      </c>
      <c r="K16" t="n">
        <v>4</v>
      </c>
      <c r="L16" t="n">
        <v>0</v>
      </c>
      <c r="M16" t="n">
        <v>0</v>
      </c>
      <c r="N16" t="n">
        <v>0</v>
      </c>
      <c r="O16" t="n">
        <v>5</v>
      </c>
      <c r="P16" t="n">
        <v>4</v>
      </c>
      <c r="Q16" t="n">
        <v>10</v>
      </c>
      <c r="R16" s="2" t="inlineStr">
        <is>
          <t>Kopparspindling
Läderdoftande fingersvamp
Stor odörspindling
Tvillingspindling
Persiljespindling
Kamjordstjärna
Kryddspindling
Strimspindling
Fläcknycklar
Nattviol</t>
        </is>
      </c>
      <c r="S16">
        <f>HYPERLINK("https://klasma.github.io/Logging_OSTERSUND/artfynd/A 49729-2020.xlsx")</f>
        <v/>
      </c>
      <c r="T16">
        <f>HYPERLINK("https://klasma.github.io/Logging_OSTERSUND/kartor/A 49729-2020.png")</f>
        <v/>
      </c>
      <c r="V16">
        <f>HYPERLINK("https://klasma.github.io/Logging_OSTERSUND/klagomål/A 49729-2020.docx")</f>
        <v/>
      </c>
      <c r="W16">
        <f>HYPERLINK("https://klasma.github.io/Logging_OSTERSUND/klagomålsmail/A 49729-2020.docx")</f>
        <v/>
      </c>
      <c r="X16">
        <f>HYPERLINK("https://klasma.github.io/Logging_OSTERSUND/tillsyn/A 49729-2020.docx")</f>
        <v/>
      </c>
      <c r="Y16">
        <f>HYPERLINK("https://klasma.github.io/Logging_OSTERSUND/tillsynsmail/A 49729-2020.docx")</f>
        <v/>
      </c>
    </row>
    <row r="17" ht="15" customHeight="1">
      <c r="A17" t="inlineStr">
        <is>
          <t>A 30201-2023</t>
        </is>
      </c>
      <c r="B17" s="1" t="n">
        <v>45099</v>
      </c>
      <c r="C17" s="1" t="n">
        <v>45172</v>
      </c>
      <c r="D17" t="inlineStr">
        <is>
          <t>JÄMTLANDS LÄN</t>
        </is>
      </c>
      <c r="E17" t="inlineStr">
        <is>
          <t>ÖSTERSUND</t>
        </is>
      </c>
      <c r="G17" t="n">
        <v>6.5</v>
      </c>
      <c r="H17" t="n">
        <v>3</v>
      </c>
      <c r="I17" t="n">
        <v>7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10</v>
      </c>
      <c r="R17" s="2" t="inlineStr">
        <is>
          <t>Trolldruvemätare
Granticka
Guckusko
Kransrams
Svart trolldruva
Tibast
Tvåblad
Underviol
Vårärt
Blåsippa</t>
        </is>
      </c>
      <c r="S17">
        <f>HYPERLINK("https://klasma.github.io/Logging_OSTERSUND/artfynd/A 30201-2023.xlsx")</f>
        <v/>
      </c>
      <c r="T17">
        <f>HYPERLINK("https://klasma.github.io/Logging_OSTERSUND/kartor/A 30201-2023.png")</f>
        <v/>
      </c>
      <c r="V17">
        <f>HYPERLINK("https://klasma.github.io/Logging_OSTERSUND/klagomål/A 30201-2023.docx")</f>
        <v/>
      </c>
      <c r="W17">
        <f>HYPERLINK("https://klasma.github.io/Logging_OSTERSUND/klagomålsmail/A 30201-2023.docx")</f>
        <v/>
      </c>
      <c r="X17">
        <f>HYPERLINK("https://klasma.github.io/Logging_OSTERSUND/tillsyn/A 30201-2023.docx")</f>
        <v/>
      </c>
      <c r="Y17">
        <f>HYPERLINK("https://klasma.github.io/Logging_OSTERSUND/tillsynsmail/A 30201-2023.docx")</f>
        <v/>
      </c>
    </row>
    <row r="18" ht="15" customHeight="1">
      <c r="A18" t="inlineStr">
        <is>
          <t>A 46584-2019</t>
        </is>
      </c>
      <c r="B18" s="1" t="n">
        <v>43719</v>
      </c>
      <c r="C18" s="1" t="n">
        <v>45172</v>
      </c>
      <c r="D18" t="inlineStr">
        <is>
          <t>JÄMTLANDS LÄN</t>
        </is>
      </c>
      <c r="E18" t="inlineStr">
        <is>
          <t>ÖSTERSUND</t>
        </is>
      </c>
      <c r="G18" t="n">
        <v>10.1</v>
      </c>
      <c r="H18" t="n">
        <v>1</v>
      </c>
      <c r="I18" t="n">
        <v>1</v>
      </c>
      <c r="J18" t="n">
        <v>6</v>
      </c>
      <c r="K18" t="n">
        <v>1</v>
      </c>
      <c r="L18" t="n">
        <v>0</v>
      </c>
      <c r="M18" t="n">
        <v>0</v>
      </c>
      <c r="N18" t="n">
        <v>0</v>
      </c>
      <c r="O18" t="n">
        <v>7</v>
      </c>
      <c r="P18" t="n">
        <v>1</v>
      </c>
      <c r="Q18" t="n">
        <v>9</v>
      </c>
      <c r="R18" s="2" t="inlineStr">
        <is>
          <t>Rynkskinn
Doftskinn
Garnlav
Granticka
Lunglav
Ullticka
Vitgrynig nållav
Underviol
Blåsippa</t>
        </is>
      </c>
      <c r="S18">
        <f>HYPERLINK("https://klasma.github.io/Logging_OSTERSUND/artfynd/A 46584-2019.xlsx")</f>
        <v/>
      </c>
      <c r="T18">
        <f>HYPERLINK("https://klasma.github.io/Logging_OSTERSUND/kartor/A 46584-2019.png")</f>
        <v/>
      </c>
      <c r="V18">
        <f>HYPERLINK("https://klasma.github.io/Logging_OSTERSUND/klagomål/A 46584-2019.docx")</f>
        <v/>
      </c>
      <c r="W18">
        <f>HYPERLINK("https://klasma.github.io/Logging_OSTERSUND/klagomålsmail/A 46584-2019.docx")</f>
        <v/>
      </c>
      <c r="X18">
        <f>HYPERLINK("https://klasma.github.io/Logging_OSTERSUND/tillsyn/A 46584-2019.docx")</f>
        <v/>
      </c>
      <c r="Y18">
        <f>HYPERLINK("https://klasma.github.io/Logging_OSTERSUND/tillsynsmail/A 46584-2019.docx")</f>
        <v/>
      </c>
    </row>
    <row r="19" ht="15" customHeight="1">
      <c r="A19" t="inlineStr">
        <is>
          <t>A 21511-2022</t>
        </is>
      </c>
      <c r="B19" s="1" t="n">
        <v>44706</v>
      </c>
      <c r="C19" s="1" t="n">
        <v>45172</v>
      </c>
      <c r="D19" t="inlineStr">
        <is>
          <t>JÄMTLANDS LÄN</t>
        </is>
      </c>
      <c r="E19" t="inlineStr">
        <is>
          <t>ÖSTERSUND</t>
        </is>
      </c>
      <c r="G19" t="n">
        <v>24.7</v>
      </c>
      <c r="H19" t="n">
        <v>3</v>
      </c>
      <c r="I19" t="n">
        <v>2</v>
      </c>
      <c r="J19" t="n">
        <v>6</v>
      </c>
      <c r="K19" t="n">
        <v>1</v>
      </c>
      <c r="L19" t="n">
        <v>0</v>
      </c>
      <c r="M19" t="n">
        <v>0</v>
      </c>
      <c r="N19" t="n">
        <v>0</v>
      </c>
      <c r="O19" t="n">
        <v>7</v>
      </c>
      <c r="P19" t="n">
        <v>1</v>
      </c>
      <c r="Q19" t="n">
        <v>9</v>
      </c>
      <c r="R19" s="2" t="inlineStr">
        <is>
          <t>Knärot
Garnlav
Granticka
Lunglav
Rosenticka
Tretåig hackspett
Ullticka
Spindelblomster
Vedticka</t>
        </is>
      </c>
      <c r="S19">
        <f>HYPERLINK("https://klasma.github.io/Logging_OSTERSUND/artfynd/A 21511-2022.xlsx")</f>
        <v/>
      </c>
      <c r="T19">
        <f>HYPERLINK("https://klasma.github.io/Logging_OSTERSUND/kartor/A 21511-2022.png")</f>
        <v/>
      </c>
      <c r="U19">
        <f>HYPERLINK("https://klasma.github.io/Logging_OSTERSUND/knärot/A 21511-2022.png")</f>
        <v/>
      </c>
      <c r="V19">
        <f>HYPERLINK("https://klasma.github.io/Logging_OSTERSUND/klagomål/A 21511-2022.docx")</f>
        <v/>
      </c>
      <c r="W19">
        <f>HYPERLINK("https://klasma.github.io/Logging_OSTERSUND/klagomålsmail/A 21511-2022.docx")</f>
        <v/>
      </c>
      <c r="X19">
        <f>HYPERLINK("https://klasma.github.io/Logging_OSTERSUND/tillsyn/A 21511-2022.docx")</f>
        <v/>
      </c>
      <c r="Y19">
        <f>HYPERLINK("https://klasma.github.io/Logging_OSTERSUND/tillsynsmail/A 21511-2022.docx")</f>
        <v/>
      </c>
    </row>
    <row r="20" ht="15" customHeight="1">
      <c r="A20" t="inlineStr">
        <is>
          <t>A 2237-2022</t>
        </is>
      </c>
      <c r="B20" s="1" t="n">
        <v>44578</v>
      </c>
      <c r="C20" s="1" t="n">
        <v>45172</v>
      </c>
      <c r="D20" t="inlineStr">
        <is>
          <t>JÄMTLANDS LÄN</t>
        </is>
      </c>
      <c r="E20" t="inlineStr">
        <is>
          <t>ÖSTERSUND</t>
        </is>
      </c>
      <c r="G20" t="n">
        <v>13.5</v>
      </c>
      <c r="H20" t="n">
        <v>1</v>
      </c>
      <c r="I20" t="n">
        <v>3</v>
      </c>
      <c r="J20" t="n">
        <v>3</v>
      </c>
      <c r="K20" t="n">
        <v>2</v>
      </c>
      <c r="L20" t="n">
        <v>0</v>
      </c>
      <c r="M20" t="n">
        <v>0</v>
      </c>
      <c r="N20" t="n">
        <v>0</v>
      </c>
      <c r="O20" t="n">
        <v>5</v>
      </c>
      <c r="P20" t="n">
        <v>2</v>
      </c>
      <c r="Q20" t="n">
        <v>8</v>
      </c>
      <c r="R20" s="2" t="inlineStr">
        <is>
          <t>Bitter taggsvamp
Doftticka
Garnlav
Lunglav
Orange taggsvamp
Fjällig taggsvamp s.str.
Luddlav
Stuplav</t>
        </is>
      </c>
      <c r="S20">
        <f>HYPERLINK("https://klasma.github.io/Logging_OSTERSUND/artfynd/A 2237-2022.xlsx")</f>
        <v/>
      </c>
      <c r="T20">
        <f>HYPERLINK("https://klasma.github.io/Logging_OSTERSUND/kartor/A 2237-2022.png")</f>
        <v/>
      </c>
      <c r="V20">
        <f>HYPERLINK("https://klasma.github.io/Logging_OSTERSUND/klagomål/A 2237-2022.docx")</f>
        <v/>
      </c>
      <c r="W20">
        <f>HYPERLINK("https://klasma.github.io/Logging_OSTERSUND/klagomålsmail/A 2237-2022.docx")</f>
        <v/>
      </c>
      <c r="X20">
        <f>HYPERLINK("https://klasma.github.io/Logging_OSTERSUND/tillsyn/A 2237-2022.docx")</f>
        <v/>
      </c>
      <c r="Y20">
        <f>HYPERLINK("https://klasma.github.io/Logging_OSTERSUND/tillsynsmail/A 2237-2022.docx")</f>
        <v/>
      </c>
    </row>
    <row r="21" ht="15" customHeight="1">
      <c r="A21" t="inlineStr">
        <is>
          <t>A 20976-2022</t>
        </is>
      </c>
      <c r="B21" s="1" t="n">
        <v>44701</v>
      </c>
      <c r="C21" s="1" t="n">
        <v>45172</v>
      </c>
      <c r="D21" t="inlineStr">
        <is>
          <t>JÄMTLANDS LÄN</t>
        </is>
      </c>
      <c r="E21" t="inlineStr">
        <is>
          <t>ÖSTERSUND</t>
        </is>
      </c>
      <c r="G21" t="n">
        <v>16.3</v>
      </c>
      <c r="H21" t="n">
        <v>3</v>
      </c>
      <c r="I21" t="n">
        <v>7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8</v>
      </c>
      <c r="R21" s="2" t="inlineStr">
        <is>
          <t>Finbräken
Grönkulla
Kransrams
Tibast
Trådfräken
Tvåblad
Underviol
Blåsippa</t>
        </is>
      </c>
      <c r="S21">
        <f>HYPERLINK("https://klasma.github.io/Logging_OSTERSUND/artfynd/A 20976-2022.xlsx")</f>
        <v/>
      </c>
      <c r="T21">
        <f>HYPERLINK("https://klasma.github.io/Logging_OSTERSUND/kartor/A 20976-2022.png")</f>
        <v/>
      </c>
      <c r="V21">
        <f>HYPERLINK("https://klasma.github.io/Logging_OSTERSUND/klagomål/A 20976-2022.docx")</f>
        <v/>
      </c>
      <c r="W21">
        <f>HYPERLINK("https://klasma.github.io/Logging_OSTERSUND/klagomålsmail/A 20976-2022.docx")</f>
        <v/>
      </c>
      <c r="X21">
        <f>HYPERLINK("https://klasma.github.io/Logging_OSTERSUND/tillsyn/A 20976-2022.docx")</f>
        <v/>
      </c>
      <c r="Y21">
        <f>HYPERLINK("https://klasma.github.io/Logging_OSTERSUND/tillsynsmail/A 20976-2022.docx")</f>
        <v/>
      </c>
    </row>
    <row r="22" ht="15" customHeight="1">
      <c r="A22" t="inlineStr">
        <is>
          <t>A 21753-2023</t>
        </is>
      </c>
      <c r="B22" s="1" t="n">
        <v>45063</v>
      </c>
      <c r="C22" s="1" t="n">
        <v>45172</v>
      </c>
      <c r="D22" t="inlineStr">
        <is>
          <t>JÄMTLANDS LÄN</t>
        </is>
      </c>
      <c r="E22" t="inlineStr">
        <is>
          <t>ÖSTERSUND</t>
        </is>
      </c>
      <c r="G22" t="n">
        <v>6.1</v>
      </c>
      <c r="H22" t="n">
        <v>4</v>
      </c>
      <c r="I22" t="n">
        <v>2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8</v>
      </c>
      <c r="R22" s="2" t="inlineStr">
        <is>
          <t>Knärot
Flattoppad klubbsvamp
Rosenticka
Ullticka
Rödgul trumpetsvamp
Spindelblomster
Fläcknycklar
Blåsippa</t>
        </is>
      </c>
      <c r="S22">
        <f>HYPERLINK("https://klasma.github.io/Logging_OSTERSUND/artfynd/A 21753-2023.xlsx")</f>
        <v/>
      </c>
      <c r="T22">
        <f>HYPERLINK("https://klasma.github.io/Logging_OSTERSUND/kartor/A 21753-2023.png")</f>
        <v/>
      </c>
      <c r="U22">
        <f>HYPERLINK("https://klasma.github.io/Logging_OSTERSUND/knärot/A 21753-2023.png")</f>
        <v/>
      </c>
      <c r="V22">
        <f>HYPERLINK("https://klasma.github.io/Logging_OSTERSUND/klagomål/A 21753-2023.docx")</f>
        <v/>
      </c>
      <c r="W22">
        <f>HYPERLINK("https://klasma.github.io/Logging_OSTERSUND/klagomålsmail/A 21753-2023.docx")</f>
        <v/>
      </c>
      <c r="X22">
        <f>HYPERLINK("https://klasma.github.io/Logging_OSTERSUND/tillsyn/A 21753-2023.docx")</f>
        <v/>
      </c>
      <c r="Y22">
        <f>HYPERLINK("https://klasma.github.io/Logging_OSTERSUND/tillsynsmail/A 21753-2023.docx")</f>
        <v/>
      </c>
    </row>
    <row r="23" ht="15" customHeight="1">
      <c r="A23" t="inlineStr">
        <is>
          <t>A 32699-2023</t>
        </is>
      </c>
      <c r="B23" s="1" t="n">
        <v>45121</v>
      </c>
      <c r="C23" s="1" t="n">
        <v>45172</v>
      </c>
      <c r="D23" t="inlineStr">
        <is>
          <t>JÄMTLANDS LÄN</t>
        </is>
      </c>
      <c r="E23" t="inlineStr">
        <is>
          <t>ÖSTERSUND</t>
        </is>
      </c>
      <c r="F23" t="inlineStr">
        <is>
          <t>Övriga Aktiebolag</t>
        </is>
      </c>
      <c r="G23" t="n">
        <v>7.2</v>
      </c>
      <c r="H23" t="n">
        <v>4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8</v>
      </c>
      <c r="R23" s="2" t="inlineStr">
        <is>
          <t>Knärot
Garnlav
Granticka
Norrlandslav
Spindelblomster
Trådticka
Blåsippa
Revlummer</t>
        </is>
      </c>
      <c r="S23">
        <f>HYPERLINK("https://klasma.github.io/Logging_OSTERSUND/artfynd/A 32699-2023.xlsx")</f>
        <v/>
      </c>
      <c r="T23">
        <f>HYPERLINK("https://klasma.github.io/Logging_OSTERSUND/kartor/A 32699-2023.png")</f>
        <v/>
      </c>
      <c r="U23">
        <f>HYPERLINK("https://klasma.github.io/Logging_OSTERSUND/knärot/A 32699-2023.png")</f>
        <v/>
      </c>
      <c r="V23">
        <f>HYPERLINK("https://klasma.github.io/Logging_OSTERSUND/klagomål/A 32699-2023.docx")</f>
        <v/>
      </c>
      <c r="W23">
        <f>HYPERLINK("https://klasma.github.io/Logging_OSTERSUND/klagomålsmail/A 32699-2023.docx")</f>
        <v/>
      </c>
      <c r="X23">
        <f>HYPERLINK("https://klasma.github.io/Logging_OSTERSUND/tillsyn/A 32699-2023.docx")</f>
        <v/>
      </c>
      <c r="Y23">
        <f>HYPERLINK("https://klasma.github.io/Logging_OSTERSUND/tillsynsmail/A 32699-2023.docx")</f>
        <v/>
      </c>
    </row>
    <row r="24" ht="15" customHeight="1">
      <c r="A24" t="inlineStr">
        <is>
          <t>A 50716-2018</t>
        </is>
      </c>
      <c r="B24" s="1" t="n">
        <v>43381</v>
      </c>
      <c r="C24" s="1" t="n">
        <v>45172</v>
      </c>
      <c r="D24" t="inlineStr">
        <is>
          <t>JÄMTLANDS LÄN</t>
        </is>
      </c>
      <c r="E24" t="inlineStr">
        <is>
          <t>ÖSTERSUND</t>
        </is>
      </c>
      <c r="G24" t="n">
        <v>25</v>
      </c>
      <c r="H24" t="n">
        <v>0</v>
      </c>
      <c r="I24" t="n">
        <v>1</v>
      </c>
      <c r="J24" t="n">
        <v>5</v>
      </c>
      <c r="K24" t="n">
        <v>1</v>
      </c>
      <c r="L24" t="n">
        <v>0</v>
      </c>
      <c r="M24" t="n">
        <v>0</v>
      </c>
      <c r="N24" t="n">
        <v>0</v>
      </c>
      <c r="O24" t="n">
        <v>6</v>
      </c>
      <c r="P24" t="n">
        <v>1</v>
      </c>
      <c r="Q24" t="n">
        <v>7</v>
      </c>
      <c r="R24" s="2" t="inlineStr">
        <is>
          <t>Liten aspgelélav
Harticka
Lunglav
Skrovellav
Stiftgelélav
Ullticka
Stor aspticka</t>
        </is>
      </c>
      <c r="S24">
        <f>HYPERLINK("https://klasma.github.io/Logging_OSTERSUND/artfynd/A 50716-2018.xlsx")</f>
        <v/>
      </c>
      <c r="T24">
        <f>HYPERLINK("https://klasma.github.io/Logging_OSTERSUND/kartor/A 50716-2018.png")</f>
        <v/>
      </c>
      <c r="V24">
        <f>HYPERLINK("https://klasma.github.io/Logging_OSTERSUND/klagomål/A 50716-2018.docx")</f>
        <v/>
      </c>
      <c r="W24">
        <f>HYPERLINK("https://klasma.github.io/Logging_OSTERSUND/klagomålsmail/A 50716-2018.docx")</f>
        <v/>
      </c>
      <c r="X24">
        <f>HYPERLINK("https://klasma.github.io/Logging_OSTERSUND/tillsyn/A 50716-2018.docx")</f>
        <v/>
      </c>
      <c r="Y24">
        <f>HYPERLINK("https://klasma.github.io/Logging_OSTERSUND/tillsynsmail/A 50716-2018.docx")</f>
        <v/>
      </c>
    </row>
    <row r="25" ht="15" customHeight="1">
      <c r="A25" t="inlineStr">
        <is>
          <t>A 8023-2019</t>
        </is>
      </c>
      <c r="B25" s="1" t="n">
        <v>43501</v>
      </c>
      <c r="C25" s="1" t="n">
        <v>45172</v>
      </c>
      <c r="D25" t="inlineStr">
        <is>
          <t>JÄMTLANDS LÄN</t>
        </is>
      </c>
      <c r="E25" t="inlineStr">
        <is>
          <t>ÖSTERSUND</t>
        </is>
      </c>
      <c r="G25" t="n">
        <v>1.7</v>
      </c>
      <c r="H25" t="n">
        <v>2</v>
      </c>
      <c r="I25" t="n">
        <v>2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Ullticka
Vedtrappmossa
Kransrams
Svavelriska
Blåsippa</t>
        </is>
      </c>
      <c r="S25">
        <f>HYPERLINK("https://klasma.github.io/Logging_OSTERSUND/artfynd/A 8023-2019.xlsx")</f>
        <v/>
      </c>
      <c r="T25">
        <f>HYPERLINK("https://klasma.github.io/Logging_OSTERSUND/kartor/A 8023-2019.png")</f>
        <v/>
      </c>
      <c r="U25">
        <f>HYPERLINK("https://klasma.github.io/Logging_OSTERSUND/knärot/A 8023-2019.png")</f>
        <v/>
      </c>
      <c r="V25">
        <f>HYPERLINK("https://klasma.github.io/Logging_OSTERSUND/klagomål/A 8023-2019.docx")</f>
        <v/>
      </c>
      <c r="W25">
        <f>HYPERLINK("https://klasma.github.io/Logging_OSTERSUND/klagomålsmail/A 8023-2019.docx")</f>
        <v/>
      </c>
      <c r="X25">
        <f>HYPERLINK("https://klasma.github.io/Logging_OSTERSUND/tillsyn/A 8023-2019.docx")</f>
        <v/>
      </c>
      <c r="Y25">
        <f>HYPERLINK("https://klasma.github.io/Logging_OSTERSUND/tillsynsmail/A 8023-2019.docx")</f>
        <v/>
      </c>
    </row>
    <row r="26" ht="15" customHeight="1">
      <c r="A26" t="inlineStr">
        <is>
          <t>A 65938-2021</t>
        </is>
      </c>
      <c r="B26" s="1" t="n">
        <v>44517</v>
      </c>
      <c r="C26" s="1" t="n">
        <v>45172</v>
      </c>
      <c r="D26" t="inlineStr">
        <is>
          <t>JÄMTLANDS LÄN</t>
        </is>
      </c>
      <c r="E26" t="inlineStr">
        <is>
          <t>ÖSTERSUND</t>
        </is>
      </c>
      <c r="G26" t="n">
        <v>4.4</v>
      </c>
      <c r="H26" t="n">
        <v>4</v>
      </c>
      <c r="I26" t="n">
        <v>0</v>
      </c>
      <c r="J26" t="n">
        <v>4</v>
      </c>
      <c r="K26" t="n">
        <v>2</v>
      </c>
      <c r="L26" t="n">
        <v>0</v>
      </c>
      <c r="M26" t="n">
        <v>0</v>
      </c>
      <c r="N26" t="n">
        <v>0</v>
      </c>
      <c r="O26" t="n">
        <v>6</v>
      </c>
      <c r="P26" t="n">
        <v>2</v>
      </c>
      <c r="Q26" t="n">
        <v>7</v>
      </c>
      <c r="R26" s="2" t="inlineStr">
        <is>
          <t>Knärot
Sprickporing
Doftskinn
Garnlav
Talltita
Tretåig hackspett
Revlummer</t>
        </is>
      </c>
      <c r="S26">
        <f>HYPERLINK("https://klasma.github.io/Logging_OSTERSUND/artfynd/A 65938-2021.xlsx")</f>
        <v/>
      </c>
      <c r="T26">
        <f>HYPERLINK("https://klasma.github.io/Logging_OSTERSUND/kartor/A 65938-2021.png")</f>
        <v/>
      </c>
      <c r="U26">
        <f>HYPERLINK("https://klasma.github.io/Logging_OSTERSUND/knärot/A 65938-2021.png")</f>
        <v/>
      </c>
      <c r="V26">
        <f>HYPERLINK("https://klasma.github.io/Logging_OSTERSUND/klagomål/A 65938-2021.docx")</f>
        <v/>
      </c>
      <c r="W26">
        <f>HYPERLINK("https://klasma.github.io/Logging_OSTERSUND/klagomålsmail/A 65938-2021.docx")</f>
        <v/>
      </c>
      <c r="X26">
        <f>HYPERLINK("https://klasma.github.io/Logging_OSTERSUND/tillsyn/A 65938-2021.docx")</f>
        <v/>
      </c>
      <c r="Y26">
        <f>HYPERLINK("https://klasma.github.io/Logging_OSTERSUND/tillsynsmail/A 65938-2021.docx")</f>
        <v/>
      </c>
    </row>
    <row r="27" ht="15" customHeight="1">
      <c r="A27" t="inlineStr">
        <is>
          <t>A 3341-2023</t>
        </is>
      </c>
      <c r="B27" s="1" t="n">
        <v>44945</v>
      </c>
      <c r="C27" s="1" t="n">
        <v>45172</v>
      </c>
      <c r="D27" t="inlineStr">
        <is>
          <t>JÄMTLANDS LÄN</t>
        </is>
      </c>
      <c r="E27" t="inlineStr">
        <is>
          <t>ÖSTERSUND</t>
        </is>
      </c>
      <c r="G27" t="n">
        <v>12.3</v>
      </c>
      <c r="H27" t="n">
        <v>1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7</v>
      </c>
      <c r="R27" s="2" t="inlineStr">
        <is>
          <t>Grantaggsvamp
Granticka
Äggvaxskivling
Finbräken
Kransrams
Trådfräken
Blåsippa</t>
        </is>
      </c>
      <c r="S27">
        <f>HYPERLINK("https://klasma.github.io/Logging_OSTERSUND/artfynd/A 3341-2023.xlsx")</f>
        <v/>
      </c>
      <c r="T27">
        <f>HYPERLINK("https://klasma.github.io/Logging_OSTERSUND/kartor/A 3341-2023.png")</f>
        <v/>
      </c>
      <c r="V27">
        <f>HYPERLINK("https://klasma.github.io/Logging_OSTERSUND/klagomål/A 3341-2023.docx")</f>
        <v/>
      </c>
      <c r="W27">
        <f>HYPERLINK("https://klasma.github.io/Logging_OSTERSUND/klagomålsmail/A 3341-2023.docx")</f>
        <v/>
      </c>
      <c r="X27">
        <f>HYPERLINK("https://klasma.github.io/Logging_OSTERSUND/tillsyn/A 3341-2023.docx")</f>
        <v/>
      </c>
      <c r="Y27">
        <f>HYPERLINK("https://klasma.github.io/Logging_OSTERSUND/tillsynsmail/A 3341-2023.docx")</f>
        <v/>
      </c>
    </row>
    <row r="28" ht="15" customHeight="1">
      <c r="A28" t="inlineStr">
        <is>
          <t>A 8120-2023</t>
        </is>
      </c>
      <c r="B28" s="1" t="n">
        <v>44970</v>
      </c>
      <c r="C28" s="1" t="n">
        <v>45172</v>
      </c>
      <c r="D28" t="inlineStr">
        <is>
          <t>JÄMTLANDS LÄN</t>
        </is>
      </c>
      <c r="E28" t="inlineStr">
        <is>
          <t>ÖSTERSUND</t>
        </is>
      </c>
      <c r="G28" t="n">
        <v>4</v>
      </c>
      <c r="H28" t="n">
        <v>2</v>
      </c>
      <c r="I28" t="n">
        <v>3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7</v>
      </c>
      <c r="R28" s="2" t="inlineStr">
        <is>
          <t>Knärot
Garnlav
Lunglav
Skogsfru
Bårdlav
Luddlav
Stuplav</t>
        </is>
      </c>
      <c r="S28">
        <f>HYPERLINK("https://klasma.github.io/Logging_OSTERSUND/artfynd/A 8120-2023.xlsx")</f>
        <v/>
      </c>
      <c r="T28">
        <f>HYPERLINK("https://klasma.github.io/Logging_OSTERSUND/kartor/A 8120-2023.png")</f>
        <v/>
      </c>
      <c r="U28">
        <f>HYPERLINK("https://klasma.github.io/Logging_OSTERSUND/knärot/A 8120-2023.png")</f>
        <v/>
      </c>
      <c r="V28">
        <f>HYPERLINK("https://klasma.github.io/Logging_OSTERSUND/klagomål/A 8120-2023.docx")</f>
        <v/>
      </c>
      <c r="W28">
        <f>HYPERLINK("https://klasma.github.io/Logging_OSTERSUND/klagomålsmail/A 8120-2023.docx")</f>
        <v/>
      </c>
      <c r="X28">
        <f>HYPERLINK("https://klasma.github.io/Logging_OSTERSUND/tillsyn/A 8120-2023.docx")</f>
        <v/>
      </c>
      <c r="Y28">
        <f>HYPERLINK("https://klasma.github.io/Logging_OSTERSUND/tillsynsmail/A 8120-2023.docx")</f>
        <v/>
      </c>
    </row>
    <row r="29" ht="15" customHeight="1">
      <c r="A29" t="inlineStr">
        <is>
          <t>A 16369-2023</t>
        </is>
      </c>
      <c r="B29" s="1" t="n">
        <v>45028</v>
      </c>
      <c r="C29" s="1" t="n">
        <v>45172</v>
      </c>
      <c r="D29" t="inlineStr">
        <is>
          <t>JÄMTLANDS LÄN</t>
        </is>
      </c>
      <c r="E29" t="inlineStr">
        <is>
          <t>ÖSTERSUND</t>
        </is>
      </c>
      <c r="F29" t="inlineStr">
        <is>
          <t>SCA</t>
        </is>
      </c>
      <c r="G29" t="n">
        <v>4.6</v>
      </c>
      <c r="H29" t="n">
        <v>1</v>
      </c>
      <c r="I29" t="n">
        <v>1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7</v>
      </c>
      <c r="R29" s="2" t="inlineStr">
        <is>
          <t>Rynkskinn
Flattoppad klubbsvamp
Granticka
Gränsticka
Ullticka
Rödgul trumpetsvamp
Blåsippa</t>
        </is>
      </c>
      <c r="S29">
        <f>HYPERLINK("https://klasma.github.io/Logging_OSTERSUND/artfynd/A 16369-2023.xlsx")</f>
        <v/>
      </c>
      <c r="T29">
        <f>HYPERLINK("https://klasma.github.io/Logging_OSTERSUND/kartor/A 16369-2023.png")</f>
        <v/>
      </c>
      <c r="V29">
        <f>HYPERLINK("https://klasma.github.io/Logging_OSTERSUND/klagomål/A 16369-2023.docx")</f>
        <v/>
      </c>
      <c r="W29">
        <f>HYPERLINK("https://klasma.github.io/Logging_OSTERSUND/klagomålsmail/A 16369-2023.docx")</f>
        <v/>
      </c>
      <c r="X29">
        <f>HYPERLINK("https://klasma.github.io/Logging_OSTERSUND/tillsyn/A 16369-2023.docx")</f>
        <v/>
      </c>
      <c r="Y29">
        <f>HYPERLINK("https://klasma.github.io/Logging_OSTERSUND/tillsynsmail/A 16369-2023.docx")</f>
        <v/>
      </c>
    </row>
    <row r="30" ht="15" customHeight="1">
      <c r="A30" t="inlineStr">
        <is>
          <t>A 24523-2021</t>
        </is>
      </c>
      <c r="B30" s="1" t="n">
        <v>44337</v>
      </c>
      <c r="C30" s="1" t="n">
        <v>45172</v>
      </c>
      <c r="D30" t="inlineStr">
        <is>
          <t>JÄMTLANDS LÄN</t>
        </is>
      </c>
      <c r="E30" t="inlineStr">
        <is>
          <t>ÖSTERSUND</t>
        </is>
      </c>
      <c r="G30" t="n">
        <v>9.300000000000001</v>
      </c>
      <c r="H30" t="n">
        <v>2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6</v>
      </c>
      <c r="R30" s="2" t="inlineStr">
        <is>
          <t>Garnlav
Spillkråka
Svart trolldruva
Tibast
Underviol
Blåsippa</t>
        </is>
      </c>
      <c r="S30">
        <f>HYPERLINK("https://klasma.github.io/Logging_OSTERSUND/artfynd/A 24523-2021.xlsx")</f>
        <v/>
      </c>
      <c r="T30">
        <f>HYPERLINK("https://klasma.github.io/Logging_OSTERSUND/kartor/A 24523-2021.png")</f>
        <v/>
      </c>
      <c r="V30">
        <f>HYPERLINK("https://klasma.github.io/Logging_OSTERSUND/klagomål/A 24523-2021.docx")</f>
        <v/>
      </c>
      <c r="W30">
        <f>HYPERLINK("https://klasma.github.io/Logging_OSTERSUND/klagomålsmail/A 24523-2021.docx")</f>
        <v/>
      </c>
      <c r="X30">
        <f>HYPERLINK("https://klasma.github.io/Logging_OSTERSUND/tillsyn/A 24523-2021.docx")</f>
        <v/>
      </c>
      <c r="Y30">
        <f>HYPERLINK("https://klasma.github.io/Logging_OSTERSUND/tillsynsmail/A 24523-2021.docx")</f>
        <v/>
      </c>
    </row>
    <row r="31" ht="15" customHeight="1">
      <c r="A31" t="inlineStr">
        <is>
          <t>A 28512-2021</t>
        </is>
      </c>
      <c r="B31" s="1" t="n">
        <v>44356</v>
      </c>
      <c r="C31" s="1" t="n">
        <v>45172</v>
      </c>
      <c r="D31" t="inlineStr">
        <is>
          <t>JÄMTLANDS LÄN</t>
        </is>
      </c>
      <c r="E31" t="inlineStr">
        <is>
          <t>ÖSTERSUND</t>
        </is>
      </c>
      <c r="G31" t="n">
        <v>1.5</v>
      </c>
      <c r="H31" t="n">
        <v>2</v>
      </c>
      <c r="I31" t="n">
        <v>1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6</v>
      </c>
      <c r="R31" s="2" t="inlineStr">
        <is>
          <t>Garnlav
Lunglav
Skrovellav
Talltita
Tretåig hackspett
Luddlav</t>
        </is>
      </c>
      <c r="S31">
        <f>HYPERLINK("https://klasma.github.io/Logging_OSTERSUND/artfynd/A 28512-2021.xlsx")</f>
        <v/>
      </c>
      <c r="T31">
        <f>HYPERLINK("https://klasma.github.io/Logging_OSTERSUND/kartor/A 28512-2021.png")</f>
        <v/>
      </c>
      <c r="U31">
        <f>HYPERLINK("https://klasma.github.io/Logging_OSTERSUND/knärot/A 28512-2021.png")</f>
        <v/>
      </c>
      <c r="V31">
        <f>HYPERLINK("https://klasma.github.io/Logging_OSTERSUND/klagomål/A 28512-2021.docx")</f>
        <v/>
      </c>
      <c r="W31">
        <f>HYPERLINK("https://klasma.github.io/Logging_OSTERSUND/klagomålsmail/A 28512-2021.docx")</f>
        <v/>
      </c>
      <c r="X31">
        <f>HYPERLINK("https://klasma.github.io/Logging_OSTERSUND/tillsyn/A 28512-2021.docx")</f>
        <v/>
      </c>
      <c r="Y31">
        <f>HYPERLINK("https://klasma.github.io/Logging_OSTERSUND/tillsynsmail/A 28512-2021.docx")</f>
        <v/>
      </c>
    </row>
    <row r="32" ht="15" customHeight="1">
      <c r="A32" t="inlineStr">
        <is>
          <t>A 376-2023</t>
        </is>
      </c>
      <c r="B32" s="1" t="n">
        <v>44929</v>
      </c>
      <c r="C32" s="1" t="n">
        <v>45172</v>
      </c>
      <c r="D32" t="inlineStr">
        <is>
          <t>JÄMTLANDS LÄN</t>
        </is>
      </c>
      <c r="E32" t="inlineStr">
        <is>
          <t>ÖSTERSUND</t>
        </is>
      </c>
      <c r="G32" t="n">
        <v>11.5</v>
      </c>
      <c r="H32" t="n">
        <v>2</v>
      </c>
      <c r="I32" t="n">
        <v>1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6</v>
      </c>
      <c r="R32" s="2" t="inlineStr">
        <is>
          <t>Garnlav
Lunglav
Skrovellav
Spillkråka
Tretåig hackspett
Stuplav</t>
        </is>
      </c>
      <c r="S32">
        <f>HYPERLINK("https://klasma.github.io/Logging_OSTERSUND/artfynd/A 376-2023.xlsx")</f>
        <v/>
      </c>
      <c r="T32">
        <f>HYPERLINK("https://klasma.github.io/Logging_OSTERSUND/kartor/A 376-2023.png")</f>
        <v/>
      </c>
      <c r="V32">
        <f>HYPERLINK("https://klasma.github.io/Logging_OSTERSUND/klagomål/A 376-2023.docx")</f>
        <v/>
      </c>
      <c r="W32">
        <f>HYPERLINK("https://klasma.github.io/Logging_OSTERSUND/klagomålsmail/A 376-2023.docx")</f>
        <v/>
      </c>
      <c r="X32">
        <f>HYPERLINK("https://klasma.github.io/Logging_OSTERSUND/tillsyn/A 376-2023.docx")</f>
        <v/>
      </c>
      <c r="Y32">
        <f>HYPERLINK("https://klasma.github.io/Logging_OSTERSUND/tillsynsmail/A 376-2023.docx")</f>
        <v/>
      </c>
    </row>
    <row r="33" ht="15" customHeight="1">
      <c r="A33" t="inlineStr">
        <is>
          <t>A 27577-2022</t>
        </is>
      </c>
      <c r="B33" s="1" t="n">
        <v>44742</v>
      </c>
      <c r="C33" s="1" t="n">
        <v>45172</v>
      </c>
      <c r="D33" t="inlineStr">
        <is>
          <t>JÄMTLANDS LÄN</t>
        </is>
      </c>
      <c r="E33" t="inlineStr">
        <is>
          <t>ÖSTERSUND</t>
        </is>
      </c>
      <c r="F33" t="inlineStr">
        <is>
          <t>SCA</t>
        </is>
      </c>
      <c r="G33" t="n">
        <v>12</v>
      </c>
      <c r="H33" t="n">
        <v>2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Granticka
Tibast
Tvåblad
Underviol
Blåsippa</t>
        </is>
      </c>
      <c r="S33">
        <f>HYPERLINK("https://klasma.github.io/Logging_OSTERSUND/artfynd/A 27577-2022.xlsx")</f>
        <v/>
      </c>
      <c r="T33">
        <f>HYPERLINK("https://klasma.github.io/Logging_OSTERSUND/kartor/A 27577-2022.png")</f>
        <v/>
      </c>
      <c r="V33">
        <f>HYPERLINK("https://klasma.github.io/Logging_OSTERSUND/klagomål/A 27577-2022.docx")</f>
        <v/>
      </c>
      <c r="W33">
        <f>HYPERLINK("https://klasma.github.io/Logging_OSTERSUND/klagomålsmail/A 27577-2022.docx")</f>
        <v/>
      </c>
      <c r="X33">
        <f>HYPERLINK("https://klasma.github.io/Logging_OSTERSUND/tillsyn/A 27577-2022.docx")</f>
        <v/>
      </c>
      <c r="Y33">
        <f>HYPERLINK("https://klasma.github.io/Logging_OSTERSUND/tillsynsmail/A 27577-2022.docx")</f>
        <v/>
      </c>
    </row>
    <row r="34" ht="15" customHeight="1">
      <c r="A34" t="inlineStr">
        <is>
          <t>A 47392-2022</t>
        </is>
      </c>
      <c r="B34" s="1" t="n">
        <v>44851</v>
      </c>
      <c r="C34" s="1" t="n">
        <v>45172</v>
      </c>
      <c r="D34" t="inlineStr">
        <is>
          <t>JÄMTLANDS LÄN</t>
        </is>
      </c>
      <c r="E34" t="inlineStr">
        <is>
          <t>ÖSTERSUND</t>
        </is>
      </c>
      <c r="G34" t="n">
        <v>1.6</v>
      </c>
      <c r="H34" t="n">
        <v>3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Garnlav
Guckusko
Plattlummer
Trådfräken</t>
        </is>
      </c>
      <c r="S34">
        <f>HYPERLINK("https://klasma.github.io/Logging_OSTERSUND/artfynd/A 47392-2022.xlsx")</f>
        <v/>
      </c>
      <c r="T34">
        <f>HYPERLINK("https://klasma.github.io/Logging_OSTERSUND/kartor/A 47392-2022.png")</f>
        <v/>
      </c>
      <c r="U34">
        <f>HYPERLINK("https://klasma.github.io/Logging_OSTERSUND/knärot/A 47392-2022.png")</f>
        <v/>
      </c>
      <c r="V34">
        <f>HYPERLINK("https://klasma.github.io/Logging_OSTERSUND/klagomål/A 47392-2022.docx")</f>
        <v/>
      </c>
      <c r="W34">
        <f>HYPERLINK("https://klasma.github.io/Logging_OSTERSUND/klagomålsmail/A 47392-2022.docx")</f>
        <v/>
      </c>
      <c r="X34">
        <f>HYPERLINK("https://klasma.github.io/Logging_OSTERSUND/tillsyn/A 47392-2022.docx")</f>
        <v/>
      </c>
      <c r="Y34">
        <f>HYPERLINK("https://klasma.github.io/Logging_OSTERSUND/tillsynsmail/A 47392-2022.docx")</f>
        <v/>
      </c>
    </row>
    <row r="35" ht="15" customHeight="1">
      <c r="A35" t="inlineStr">
        <is>
          <t>A 56096-2022</t>
        </is>
      </c>
      <c r="B35" s="1" t="n">
        <v>44889</v>
      </c>
      <c r="C35" s="1" t="n">
        <v>45172</v>
      </c>
      <c r="D35" t="inlineStr">
        <is>
          <t>JÄMTLANDS LÄN</t>
        </is>
      </c>
      <c r="E35" t="inlineStr">
        <is>
          <t>ÖSTERSUND</t>
        </is>
      </c>
      <c r="F35" t="inlineStr">
        <is>
          <t>Övriga Aktiebolag</t>
        </is>
      </c>
      <c r="G35" t="n">
        <v>15.1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5</v>
      </c>
      <c r="R35" s="2" t="inlineStr">
        <is>
          <t>Brunklöver
Dvärgbägarlav
Garnlav
Ullticka
Revlummer</t>
        </is>
      </c>
      <c r="S35">
        <f>HYPERLINK("https://klasma.github.io/Logging_OSTERSUND/artfynd/A 56096-2022.xlsx")</f>
        <v/>
      </c>
      <c r="T35">
        <f>HYPERLINK("https://klasma.github.io/Logging_OSTERSUND/kartor/A 56096-2022.png")</f>
        <v/>
      </c>
      <c r="V35">
        <f>HYPERLINK("https://klasma.github.io/Logging_OSTERSUND/klagomål/A 56096-2022.docx")</f>
        <v/>
      </c>
      <c r="W35">
        <f>HYPERLINK("https://klasma.github.io/Logging_OSTERSUND/klagomålsmail/A 56096-2022.docx")</f>
        <v/>
      </c>
      <c r="X35">
        <f>HYPERLINK("https://klasma.github.io/Logging_OSTERSUND/tillsyn/A 56096-2022.docx")</f>
        <v/>
      </c>
      <c r="Y35">
        <f>HYPERLINK("https://klasma.github.io/Logging_OSTERSUND/tillsynsmail/A 56096-2022.docx")</f>
        <v/>
      </c>
    </row>
    <row r="36" ht="15" customHeight="1">
      <c r="A36" t="inlineStr">
        <is>
          <t>A 16688-2023</t>
        </is>
      </c>
      <c r="B36" s="1" t="n">
        <v>45028</v>
      </c>
      <c r="C36" s="1" t="n">
        <v>45172</v>
      </c>
      <c r="D36" t="inlineStr">
        <is>
          <t>JÄMTLANDS LÄN</t>
        </is>
      </c>
      <c r="E36" t="inlineStr">
        <is>
          <t>ÖSTERSUND</t>
        </is>
      </c>
      <c r="G36" t="n">
        <v>5</v>
      </c>
      <c r="H36" t="n">
        <v>1</v>
      </c>
      <c r="I36" t="n">
        <v>3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5</v>
      </c>
      <c r="R36" s="2" t="inlineStr">
        <is>
          <t>Trolldruvemätare
Kransrams
Svart trolldruva
Underviol
Blåsippa</t>
        </is>
      </c>
      <c r="S36">
        <f>HYPERLINK("https://klasma.github.io/Logging_OSTERSUND/artfynd/A 16688-2023.xlsx")</f>
        <v/>
      </c>
      <c r="T36">
        <f>HYPERLINK("https://klasma.github.io/Logging_OSTERSUND/kartor/A 16688-2023.png")</f>
        <v/>
      </c>
      <c r="V36">
        <f>HYPERLINK("https://klasma.github.io/Logging_OSTERSUND/klagomål/A 16688-2023.docx")</f>
        <v/>
      </c>
      <c r="W36">
        <f>HYPERLINK("https://klasma.github.io/Logging_OSTERSUND/klagomålsmail/A 16688-2023.docx")</f>
        <v/>
      </c>
      <c r="X36">
        <f>HYPERLINK("https://klasma.github.io/Logging_OSTERSUND/tillsyn/A 16688-2023.docx")</f>
        <v/>
      </c>
      <c r="Y36">
        <f>HYPERLINK("https://klasma.github.io/Logging_OSTERSUND/tillsynsmail/A 16688-2023.docx")</f>
        <v/>
      </c>
    </row>
    <row r="37" ht="15" customHeight="1">
      <c r="A37" t="inlineStr">
        <is>
          <t>A 29135-2022</t>
        </is>
      </c>
      <c r="B37" s="1" t="n">
        <v>44750</v>
      </c>
      <c r="C37" s="1" t="n">
        <v>45172</v>
      </c>
      <c r="D37" t="inlineStr">
        <is>
          <t>JÄMTLANDS LÄN</t>
        </is>
      </c>
      <c r="E37" t="inlineStr">
        <is>
          <t>ÖSTERSUND</t>
        </is>
      </c>
      <c r="G37" t="n">
        <v>2.3</v>
      </c>
      <c r="H37" t="n">
        <v>3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4</v>
      </c>
      <c r="R37" s="2" t="inlineStr">
        <is>
          <t>Finbräken
Grönkulla
Fläcknycklar
Blåsippa</t>
        </is>
      </c>
      <c r="S37">
        <f>HYPERLINK("https://klasma.github.io/Logging_OSTERSUND/artfynd/A 29135-2022.xlsx")</f>
        <v/>
      </c>
      <c r="T37">
        <f>HYPERLINK("https://klasma.github.io/Logging_OSTERSUND/kartor/A 29135-2022.png")</f>
        <v/>
      </c>
      <c r="V37">
        <f>HYPERLINK("https://klasma.github.io/Logging_OSTERSUND/klagomål/A 29135-2022.docx")</f>
        <v/>
      </c>
      <c r="W37">
        <f>HYPERLINK("https://klasma.github.io/Logging_OSTERSUND/klagomålsmail/A 29135-2022.docx")</f>
        <v/>
      </c>
      <c r="X37">
        <f>HYPERLINK("https://klasma.github.io/Logging_OSTERSUND/tillsyn/A 29135-2022.docx")</f>
        <v/>
      </c>
      <c r="Y37">
        <f>HYPERLINK("https://klasma.github.io/Logging_OSTERSUND/tillsynsmail/A 29135-2022.docx")</f>
        <v/>
      </c>
    </row>
    <row r="38" ht="15" customHeight="1">
      <c r="A38" t="inlineStr">
        <is>
          <t>A 59291-2022</t>
        </is>
      </c>
      <c r="B38" s="1" t="n">
        <v>44904</v>
      </c>
      <c r="C38" s="1" t="n">
        <v>45172</v>
      </c>
      <c r="D38" t="inlineStr">
        <is>
          <t>JÄMTLANDS LÄN</t>
        </is>
      </c>
      <c r="E38" t="inlineStr">
        <is>
          <t>ÖSTERSUND</t>
        </is>
      </c>
      <c r="G38" t="n">
        <v>9.199999999999999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Lunglav
Skrovellav
Revlummer</t>
        </is>
      </c>
      <c r="S38">
        <f>HYPERLINK("https://klasma.github.io/Logging_OSTERSUND/artfynd/A 59291-2022.xlsx")</f>
        <v/>
      </c>
      <c r="T38">
        <f>HYPERLINK("https://klasma.github.io/Logging_OSTERSUND/kartor/A 59291-2022.png")</f>
        <v/>
      </c>
      <c r="V38">
        <f>HYPERLINK("https://klasma.github.io/Logging_OSTERSUND/klagomål/A 59291-2022.docx")</f>
        <v/>
      </c>
      <c r="W38">
        <f>HYPERLINK("https://klasma.github.io/Logging_OSTERSUND/klagomålsmail/A 59291-2022.docx")</f>
        <v/>
      </c>
      <c r="X38">
        <f>HYPERLINK("https://klasma.github.io/Logging_OSTERSUND/tillsyn/A 59291-2022.docx")</f>
        <v/>
      </c>
      <c r="Y38">
        <f>HYPERLINK("https://klasma.github.io/Logging_OSTERSUND/tillsynsmail/A 59291-2022.docx")</f>
        <v/>
      </c>
    </row>
    <row r="39" ht="15" customHeight="1">
      <c r="A39" t="inlineStr">
        <is>
          <t>A 2962-2023</t>
        </is>
      </c>
      <c r="B39" s="1" t="n">
        <v>44945</v>
      </c>
      <c r="C39" s="1" t="n">
        <v>45172</v>
      </c>
      <c r="D39" t="inlineStr">
        <is>
          <t>JÄMTLANDS LÄN</t>
        </is>
      </c>
      <c r="E39" t="inlineStr">
        <is>
          <t>ÖSTERSUND</t>
        </is>
      </c>
      <c r="F39" t="inlineStr">
        <is>
          <t>Övriga Aktiebolag</t>
        </is>
      </c>
      <c r="G39" t="n">
        <v>14.4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Lunglav
Tretåig hackspett
Revlummer</t>
        </is>
      </c>
      <c r="S39">
        <f>HYPERLINK("https://klasma.github.io/Logging_OSTERSUND/artfynd/A 2962-2023.xlsx")</f>
        <v/>
      </c>
      <c r="T39">
        <f>HYPERLINK("https://klasma.github.io/Logging_OSTERSUND/kartor/A 2962-2023.png")</f>
        <v/>
      </c>
      <c r="V39">
        <f>HYPERLINK("https://klasma.github.io/Logging_OSTERSUND/klagomål/A 2962-2023.docx")</f>
        <v/>
      </c>
      <c r="W39">
        <f>HYPERLINK("https://klasma.github.io/Logging_OSTERSUND/klagomålsmail/A 2962-2023.docx")</f>
        <v/>
      </c>
      <c r="X39">
        <f>HYPERLINK("https://klasma.github.io/Logging_OSTERSUND/tillsyn/A 2962-2023.docx")</f>
        <v/>
      </c>
      <c r="Y39">
        <f>HYPERLINK("https://klasma.github.io/Logging_OSTERSUND/tillsynsmail/A 2962-2023.docx")</f>
        <v/>
      </c>
    </row>
    <row r="40" ht="15" customHeight="1">
      <c r="A40" t="inlineStr">
        <is>
          <t>A 23410-2019</t>
        </is>
      </c>
      <c r="B40" s="1" t="n">
        <v>43592</v>
      </c>
      <c r="C40" s="1" t="n">
        <v>45172</v>
      </c>
      <c r="D40" t="inlineStr">
        <is>
          <t>JÄMTLANDS LÄN</t>
        </is>
      </c>
      <c r="E40" t="inlineStr">
        <is>
          <t>ÖSTERSUND</t>
        </is>
      </c>
      <c r="G40" t="n">
        <v>10.6</v>
      </c>
      <c r="H40" t="n">
        <v>3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3</v>
      </c>
      <c r="R40" s="2" t="inlineStr">
        <is>
          <t>Guckusko
Tvåblad
Fläcknycklar</t>
        </is>
      </c>
      <c r="S40">
        <f>HYPERLINK("https://klasma.github.io/Logging_OSTERSUND/artfynd/A 23410-2019.xlsx")</f>
        <v/>
      </c>
      <c r="T40">
        <f>HYPERLINK("https://klasma.github.io/Logging_OSTERSUND/kartor/A 23410-2019.png")</f>
        <v/>
      </c>
      <c r="V40">
        <f>HYPERLINK("https://klasma.github.io/Logging_OSTERSUND/klagomål/A 23410-2019.docx")</f>
        <v/>
      </c>
      <c r="W40">
        <f>HYPERLINK("https://klasma.github.io/Logging_OSTERSUND/klagomålsmail/A 23410-2019.docx")</f>
        <v/>
      </c>
      <c r="X40">
        <f>HYPERLINK("https://klasma.github.io/Logging_OSTERSUND/tillsyn/A 23410-2019.docx")</f>
        <v/>
      </c>
      <c r="Y40">
        <f>HYPERLINK("https://klasma.github.io/Logging_OSTERSUND/tillsynsmail/A 23410-2019.docx")</f>
        <v/>
      </c>
    </row>
    <row r="41" ht="15" customHeight="1">
      <c r="A41" t="inlineStr">
        <is>
          <t>A 26741-2019</t>
        </is>
      </c>
      <c r="B41" s="1" t="n">
        <v>43607</v>
      </c>
      <c r="C41" s="1" t="n">
        <v>45172</v>
      </c>
      <c r="D41" t="inlineStr">
        <is>
          <t>JÄMTLANDS LÄN</t>
        </is>
      </c>
      <c r="E41" t="inlineStr">
        <is>
          <t>ÖSTERSUND</t>
        </is>
      </c>
      <c r="F41" t="inlineStr">
        <is>
          <t>Övriga statliga verk och myndigheter</t>
        </is>
      </c>
      <c r="G41" t="n">
        <v>4.5</v>
      </c>
      <c r="H41" t="n">
        <v>0</v>
      </c>
      <c r="I41" t="n">
        <v>1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3</v>
      </c>
      <c r="R41" s="2" t="inlineStr">
        <is>
          <t>Trolldruvemätare
Lunglav
Svart trolldruva</t>
        </is>
      </c>
      <c r="S41">
        <f>HYPERLINK("https://klasma.github.io/Logging_OSTERSUND/artfynd/A 26741-2019.xlsx")</f>
        <v/>
      </c>
      <c r="T41">
        <f>HYPERLINK("https://klasma.github.io/Logging_OSTERSUND/kartor/A 26741-2019.png")</f>
        <v/>
      </c>
      <c r="V41">
        <f>HYPERLINK("https://klasma.github.io/Logging_OSTERSUND/klagomål/A 26741-2019.docx")</f>
        <v/>
      </c>
      <c r="W41">
        <f>HYPERLINK("https://klasma.github.io/Logging_OSTERSUND/klagomålsmail/A 26741-2019.docx")</f>
        <v/>
      </c>
      <c r="X41">
        <f>HYPERLINK("https://klasma.github.io/Logging_OSTERSUND/tillsyn/A 26741-2019.docx")</f>
        <v/>
      </c>
      <c r="Y41">
        <f>HYPERLINK("https://klasma.github.io/Logging_OSTERSUND/tillsynsmail/A 26741-2019.docx")</f>
        <v/>
      </c>
    </row>
    <row r="42" ht="15" customHeight="1">
      <c r="A42" t="inlineStr">
        <is>
          <t>A 36815-2019</t>
        </is>
      </c>
      <c r="B42" s="1" t="n">
        <v>43672</v>
      </c>
      <c r="C42" s="1" t="n">
        <v>45172</v>
      </c>
      <c r="D42" t="inlineStr">
        <is>
          <t>JÄMTLANDS LÄN</t>
        </is>
      </c>
      <c r="E42" t="inlineStr">
        <is>
          <t>ÖSTERSUND</t>
        </is>
      </c>
      <c r="F42" t="inlineStr">
        <is>
          <t>SCA</t>
        </is>
      </c>
      <c r="G42" t="n">
        <v>7.4</v>
      </c>
      <c r="H42" t="n">
        <v>1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Lunglav
Skrovellav
Blåsippa</t>
        </is>
      </c>
      <c r="S42">
        <f>HYPERLINK("https://klasma.github.io/Logging_OSTERSUND/artfynd/A 36815-2019.xlsx")</f>
        <v/>
      </c>
      <c r="T42">
        <f>HYPERLINK("https://klasma.github.io/Logging_OSTERSUND/kartor/A 36815-2019.png")</f>
        <v/>
      </c>
      <c r="V42">
        <f>HYPERLINK("https://klasma.github.io/Logging_OSTERSUND/klagomål/A 36815-2019.docx")</f>
        <v/>
      </c>
      <c r="W42">
        <f>HYPERLINK("https://klasma.github.io/Logging_OSTERSUND/klagomålsmail/A 36815-2019.docx")</f>
        <v/>
      </c>
      <c r="X42">
        <f>HYPERLINK("https://klasma.github.io/Logging_OSTERSUND/tillsyn/A 36815-2019.docx")</f>
        <v/>
      </c>
      <c r="Y42">
        <f>HYPERLINK("https://klasma.github.io/Logging_OSTERSUND/tillsynsmail/A 36815-2019.docx")</f>
        <v/>
      </c>
    </row>
    <row r="43" ht="15" customHeight="1">
      <c r="A43" t="inlineStr">
        <is>
          <t>A 62240-2019</t>
        </is>
      </c>
      <c r="B43" s="1" t="n">
        <v>43784</v>
      </c>
      <c r="C43" s="1" t="n">
        <v>45172</v>
      </c>
      <c r="D43" t="inlineStr">
        <is>
          <t>JÄMTLANDS LÄN</t>
        </is>
      </c>
      <c r="E43" t="inlineStr">
        <is>
          <t>ÖSTERSUND</t>
        </is>
      </c>
      <c r="G43" t="n">
        <v>2</v>
      </c>
      <c r="H43" t="n">
        <v>1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3</v>
      </c>
      <c r="R43" s="2" t="inlineStr">
        <is>
          <t>Tibast
Ögonpyrola
Blåsippa</t>
        </is>
      </c>
      <c r="S43">
        <f>HYPERLINK("https://klasma.github.io/Logging_OSTERSUND/artfynd/A 62240-2019.xlsx")</f>
        <v/>
      </c>
      <c r="T43">
        <f>HYPERLINK("https://klasma.github.io/Logging_OSTERSUND/kartor/A 62240-2019.png")</f>
        <v/>
      </c>
      <c r="V43">
        <f>HYPERLINK("https://klasma.github.io/Logging_OSTERSUND/klagomål/A 62240-2019.docx")</f>
        <v/>
      </c>
      <c r="W43">
        <f>HYPERLINK("https://klasma.github.io/Logging_OSTERSUND/klagomålsmail/A 62240-2019.docx")</f>
        <v/>
      </c>
      <c r="X43">
        <f>HYPERLINK("https://klasma.github.io/Logging_OSTERSUND/tillsyn/A 62240-2019.docx")</f>
        <v/>
      </c>
      <c r="Y43">
        <f>HYPERLINK("https://klasma.github.io/Logging_OSTERSUND/tillsynsmail/A 62240-2019.docx")</f>
        <v/>
      </c>
    </row>
    <row r="44" ht="15" customHeight="1">
      <c r="A44" t="inlineStr">
        <is>
          <t>A 7877-2021</t>
        </is>
      </c>
      <c r="B44" s="1" t="n">
        <v>44242</v>
      </c>
      <c r="C44" s="1" t="n">
        <v>45172</v>
      </c>
      <c r="D44" t="inlineStr">
        <is>
          <t>JÄMTLANDS LÄN</t>
        </is>
      </c>
      <c r="E44" t="inlineStr">
        <is>
          <t>ÖSTERSUND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3</v>
      </c>
      <c r="R44" s="2" t="inlineStr">
        <is>
          <t>Knärot
Grönpyrola
Spindelblomster</t>
        </is>
      </c>
      <c r="S44">
        <f>HYPERLINK("https://klasma.github.io/Logging_OSTERSUND/artfynd/A 7877-2021.xlsx")</f>
        <v/>
      </c>
      <c r="T44">
        <f>HYPERLINK("https://klasma.github.io/Logging_OSTERSUND/kartor/A 7877-2021.png")</f>
        <v/>
      </c>
      <c r="U44">
        <f>HYPERLINK("https://klasma.github.io/Logging_OSTERSUND/knärot/A 7877-2021.png")</f>
        <v/>
      </c>
      <c r="V44">
        <f>HYPERLINK("https://klasma.github.io/Logging_OSTERSUND/klagomål/A 7877-2021.docx")</f>
        <v/>
      </c>
      <c r="W44">
        <f>HYPERLINK("https://klasma.github.io/Logging_OSTERSUND/klagomålsmail/A 7877-2021.docx")</f>
        <v/>
      </c>
      <c r="X44">
        <f>HYPERLINK("https://klasma.github.io/Logging_OSTERSUND/tillsyn/A 7877-2021.docx")</f>
        <v/>
      </c>
      <c r="Y44">
        <f>HYPERLINK("https://klasma.github.io/Logging_OSTERSUND/tillsynsmail/A 7877-2021.docx")</f>
        <v/>
      </c>
    </row>
    <row r="45" ht="15" customHeight="1">
      <c r="A45" t="inlineStr">
        <is>
          <t>A 29349-2022</t>
        </is>
      </c>
      <c r="B45" s="1" t="n">
        <v>44750</v>
      </c>
      <c r="C45" s="1" t="n">
        <v>45172</v>
      </c>
      <c r="D45" t="inlineStr">
        <is>
          <t>JÄMTLANDS LÄN</t>
        </is>
      </c>
      <c r="E45" t="inlineStr">
        <is>
          <t>ÖSTERSUND</t>
        </is>
      </c>
      <c r="G45" t="n">
        <v>9.9</v>
      </c>
      <c r="H45" t="n">
        <v>1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Finbräken
Grönkulla
Kransrams</t>
        </is>
      </c>
      <c r="S45">
        <f>HYPERLINK("https://klasma.github.io/Logging_OSTERSUND/artfynd/A 29349-2022.xlsx")</f>
        <v/>
      </c>
      <c r="T45">
        <f>HYPERLINK("https://klasma.github.io/Logging_OSTERSUND/kartor/A 29349-2022.png")</f>
        <v/>
      </c>
      <c r="V45">
        <f>HYPERLINK("https://klasma.github.io/Logging_OSTERSUND/klagomål/A 29349-2022.docx")</f>
        <v/>
      </c>
      <c r="W45">
        <f>HYPERLINK("https://klasma.github.io/Logging_OSTERSUND/klagomålsmail/A 29349-2022.docx")</f>
        <v/>
      </c>
      <c r="X45">
        <f>HYPERLINK("https://klasma.github.io/Logging_OSTERSUND/tillsyn/A 29349-2022.docx")</f>
        <v/>
      </c>
      <c r="Y45">
        <f>HYPERLINK("https://klasma.github.io/Logging_OSTERSUND/tillsynsmail/A 29349-2022.docx")</f>
        <v/>
      </c>
    </row>
    <row r="46" ht="15" customHeight="1">
      <c r="A46" t="inlineStr">
        <is>
          <t>A 39641-2022</t>
        </is>
      </c>
      <c r="B46" s="1" t="n">
        <v>44817</v>
      </c>
      <c r="C46" s="1" t="n">
        <v>45172</v>
      </c>
      <c r="D46" t="inlineStr">
        <is>
          <t>JÄMTLANDS LÄN</t>
        </is>
      </c>
      <c r="E46" t="inlineStr">
        <is>
          <t>ÖSTERSUND</t>
        </is>
      </c>
      <c r="G46" t="n">
        <v>6</v>
      </c>
      <c r="H46" t="n">
        <v>2</v>
      </c>
      <c r="I46" t="n">
        <v>1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3</v>
      </c>
      <c r="R46" s="2" t="inlineStr">
        <is>
          <t>Knärot
Tretåig hackspett
Kransrams</t>
        </is>
      </c>
      <c r="S46">
        <f>HYPERLINK("https://klasma.github.io/Logging_OSTERSUND/artfynd/A 39641-2022.xlsx")</f>
        <v/>
      </c>
      <c r="T46">
        <f>HYPERLINK("https://klasma.github.io/Logging_OSTERSUND/kartor/A 39641-2022.png")</f>
        <v/>
      </c>
      <c r="U46">
        <f>HYPERLINK("https://klasma.github.io/Logging_OSTERSUND/knärot/A 39641-2022.png")</f>
        <v/>
      </c>
      <c r="V46">
        <f>HYPERLINK("https://klasma.github.io/Logging_OSTERSUND/klagomål/A 39641-2022.docx")</f>
        <v/>
      </c>
      <c r="W46">
        <f>HYPERLINK("https://klasma.github.io/Logging_OSTERSUND/klagomålsmail/A 39641-2022.docx")</f>
        <v/>
      </c>
      <c r="X46">
        <f>HYPERLINK("https://klasma.github.io/Logging_OSTERSUND/tillsyn/A 39641-2022.docx")</f>
        <v/>
      </c>
      <c r="Y46">
        <f>HYPERLINK("https://klasma.github.io/Logging_OSTERSUND/tillsynsmail/A 39641-2022.docx")</f>
        <v/>
      </c>
    </row>
    <row r="47" ht="15" customHeight="1">
      <c r="A47" t="inlineStr">
        <is>
          <t>A 60565-2022</t>
        </is>
      </c>
      <c r="B47" s="1" t="n">
        <v>44904</v>
      </c>
      <c r="C47" s="1" t="n">
        <v>45172</v>
      </c>
      <c r="D47" t="inlineStr">
        <is>
          <t>JÄMTLANDS LÄN</t>
        </is>
      </c>
      <c r="E47" t="inlineStr">
        <is>
          <t>ÖSTERSUND</t>
        </is>
      </c>
      <c r="G47" t="n">
        <v>2.5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Garnlav
Talltita
Revlummer</t>
        </is>
      </c>
      <c r="S47">
        <f>HYPERLINK("https://klasma.github.io/Logging_OSTERSUND/artfynd/A 60565-2022.xlsx")</f>
        <v/>
      </c>
      <c r="T47">
        <f>HYPERLINK("https://klasma.github.io/Logging_OSTERSUND/kartor/A 60565-2022.png")</f>
        <v/>
      </c>
      <c r="V47">
        <f>HYPERLINK("https://klasma.github.io/Logging_OSTERSUND/klagomål/A 60565-2022.docx")</f>
        <v/>
      </c>
      <c r="W47">
        <f>HYPERLINK("https://klasma.github.io/Logging_OSTERSUND/klagomålsmail/A 60565-2022.docx")</f>
        <v/>
      </c>
      <c r="X47">
        <f>HYPERLINK("https://klasma.github.io/Logging_OSTERSUND/tillsyn/A 60565-2022.docx")</f>
        <v/>
      </c>
      <c r="Y47">
        <f>HYPERLINK("https://klasma.github.io/Logging_OSTERSUND/tillsynsmail/A 60565-2022.docx")</f>
        <v/>
      </c>
    </row>
    <row r="48" ht="15" customHeight="1">
      <c r="A48" t="inlineStr">
        <is>
          <t>A 5100-2023</t>
        </is>
      </c>
      <c r="B48" s="1" t="n">
        <v>44956</v>
      </c>
      <c r="C48" s="1" t="n">
        <v>45172</v>
      </c>
      <c r="D48" t="inlineStr">
        <is>
          <t>JÄMTLANDS LÄN</t>
        </is>
      </c>
      <c r="E48" t="inlineStr">
        <is>
          <t>ÖSTERSUND</t>
        </is>
      </c>
      <c r="G48" t="n">
        <v>2.6</v>
      </c>
      <c r="H48" t="n">
        <v>0</v>
      </c>
      <c r="I48" t="n">
        <v>2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3</v>
      </c>
      <c r="R48" s="2" t="inlineStr">
        <is>
          <t>Trolldruvemätare
Svart trolldruva
Tibast</t>
        </is>
      </c>
      <c r="S48">
        <f>HYPERLINK("https://klasma.github.io/Logging_OSTERSUND/artfynd/A 5100-2023.xlsx")</f>
        <v/>
      </c>
      <c r="T48">
        <f>HYPERLINK("https://klasma.github.io/Logging_OSTERSUND/kartor/A 5100-2023.png")</f>
        <v/>
      </c>
      <c r="V48">
        <f>HYPERLINK("https://klasma.github.io/Logging_OSTERSUND/klagomål/A 5100-2023.docx")</f>
        <v/>
      </c>
      <c r="W48">
        <f>HYPERLINK("https://klasma.github.io/Logging_OSTERSUND/klagomålsmail/A 5100-2023.docx")</f>
        <v/>
      </c>
      <c r="X48">
        <f>HYPERLINK("https://klasma.github.io/Logging_OSTERSUND/tillsyn/A 5100-2023.docx")</f>
        <v/>
      </c>
      <c r="Y48">
        <f>HYPERLINK("https://klasma.github.io/Logging_OSTERSUND/tillsynsmail/A 5100-2023.docx")</f>
        <v/>
      </c>
    </row>
    <row r="49" ht="15" customHeight="1">
      <c r="A49" t="inlineStr">
        <is>
          <t>A 19520-2023</t>
        </is>
      </c>
      <c r="B49" s="1" t="n">
        <v>45049</v>
      </c>
      <c r="C49" s="1" t="n">
        <v>45172</v>
      </c>
      <c r="D49" t="inlineStr">
        <is>
          <t>JÄMTLANDS LÄN</t>
        </is>
      </c>
      <c r="E49" t="inlineStr">
        <is>
          <t>ÖSTERSUND</t>
        </is>
      </c>
      <c r="G49" t="n">
        <v>2</v>
      </c>
      <c r="H49" t="n">
        <v>0</v>
      </c>
      <c r="I49" t="n">
        <v>2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3</v>
      </c>
      <c r="R49" s="2" t="inlineStr">
        <is>
          <t>Trolldruvemätare
Svart trolldruva
Svavelriska</t>
        </is>
      </c>
      <c r="S49">
        <f>HYPERLINK("https://klasma.github.io/Logging_OSTERSUND/artfynd/A 19520-2023.xlsx")</f>
        <v/>
      </c>
      <c r="T49">
        <f>HYPERLINK("https://klasma.github.io/Logging_OSTERSUND/kartor/A 19520-2023.png")</f>
        <v/>
      </c>
      <c r="V49">
        <f>HYPERLINK("https://klasma.github.io/Logging_OSTERSUND/klagomål/A 19520-2023.docx")</f>
        <v/>
      </c>
      <c r="W49">
        <f>HYPERLINK("https://klasma.github.io/Logging_OSTERSUND/klagomålsmail/A 19520-2023.docx")</f>
        <v/>
      </c>
      <c r="X49">
        <f>HYPERLINK("https://klasma.github.io/Logging_OSTERSUND/tillsyn/A 19520-2023.docx")</f>
        <v/>
      </c>
      <c r="Y49">
        <f>HYPERLINK("https://klasma.github.io/Logging_OSTERSUND/tillsynsmail/A 19520-2023.docx")</f>
        <v/>
      </c>
    </row>
    <row r="50" ht="15" customHeight="1">
      <c r="A50" t="inlineStr">
        <is>
          <t>A 21752-2023</t>
        </is>
      </c>
      <c r="B50" s="1" t="n">
        <v>45063</v>
      </c>
      <c r="C50" s="1" t="n">
        <v>45172</v>
      </c>
      <c r="D50" t="inlineStr">
        <is>
          <t>JÄMTLANDS LÄN</t>
        </is>
      </c>
      <c r="E50" t="inlineStr">
        <is>
          <t>ÖSTERSUND</t>
        </is>
      </c>
      <c r="G50" t="n">
        <v>1.5</v>
      </c>
      <c r="H50" t="n">
        <v>3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3</v>
      </c>
      <c r="R50" s="2" t="inlineStr">
        <is>
          <t>Knärot
Spindelblomster
Fläcknycklar</t>
        </is>
      </c>
      <c r="S50">
        <f>HYPERLINK("https://klasma.github.io/Logging_OSTERSUND/artfynd/A 21752-2023.xlsx")</f>
        <v/>
      </c>
      <c r="T50">
        <f>HYPERLINK("https://klasma.github.io/Logging_OSTERSUND/kartor/A 21752-2023.png")</f>
        <v/>
      </c>
      <c r="U50">
        <f>HYPERLINK("https://klasma.github.io/Logging_OSTERSUND/knärot/A 21752-2023.png")</f>
        <v/>
      </c>
      <c r="V50">
        <f>HYPERLINK("https://klasma.github.io/Logging_OSTERSUND/klagomål/A 21752-2023.docx")</f>
        <v/>
      </c>
      <c r="W50">
        <f>HYPERLINK("https://klasma.github.io/Logging_OSTERSUND/klagomålsmail/A 21752-2023.docx")</f>
        <v/>
      </c>
      <c r="X50">
        <f>HYPERLINK("https://klasma.github.io/Logging_OSTERSUND/tillsyn/A 21752-2023.docx")</f>
        <v/>
      </c>
      <c r="Y50">
        <f>HYPERLINK("https://klasma.github.io/Logging_OSTERSUND/tillsynsmail/A 21752-2023.docx")</f>
        <v/>
      </c>
    </row>
    <row r="51" ht="15" customHeight="1">
      <c r="A51" t="inlineStr">
        <is>
          <t>A 50332-2018</t>
        </is>
      </c>
      <c r="B51" s="1" t="n">
        <v>43378</v>
      </c>
      <c r="C51" s="1" t="n">
        <v>45172</v>
      </c>
      <c r="D51" t="inlineStr">
        <is>
          <t>JÄMTLANDS LÄN</t>
        </is>
      </c>
      <c r="E51" t="inlineStr">
        <is>
          <t>ÖSTERSUND</t>
        </is>
      </c>
      <c r="G51" t="n">
        <v>15.9</v>
      </c>
      <c r="H51" t="n">
        <v>0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Liten aspgelélav
Lunglav</t>
        </is>
      </c>
      <c r="S51">
        <f>HYPERLINK("https://klasma.github.io/Logging_OSTERSUND/artfynd/A 50332-2018.xlsx")</f>
        <v/>
      </c>
      <c r="T51">
        <f>HYPERLINK("https://klasma.github.io/Logging_OSTERSUND/kartor/A 50332-2018.png")</f>
        <v/>
      </c>
      <c r="V51">
        <f>HYPERLINK("https://klasma.github.io/Logging_OSTERSUND/klagomål/A 50332-2018.docx")</f>
        <v/>
      </c>
      <c r="W51">
        <f>HYPERLINK("https://klasma.github.io/Logging_OSTERSUND/klagomålsmail/A 50332-2018.docx")</f>
        <v/>
      </c>
      <c r="X51">
        <f>HYPERLINK("https://klasma.github.io/Logging_OSTERSUND/tillsyn/A 50332-2018.docx")</f>
        <v/>
      </c>
      <c r="Y51">
        <f>HYPERLINK("https://klasma.github.io/Logging_OSTERSUND/tillsynsmail/A 50332-2018.docx")</f>
        <v/>
      </c>
    </row>
    <row r="52" ht="15" customHeight="1">
      <c r="A52" t="inlineStr">
        <is>
          <t>A 70401-2018</t>
        </is>
      </c>
      <c r="B52" s="1" t="n">
        <v>43446</v>
      </c>
      <c r="C52" s="1" t="n">
        <v>45172</v>
      </c>
      <c r="D52" t="inlineStr">
        <is>
          <t>JÄMTLANDS LÄN</t>
        </is>
      </c>
      <c r="E52" t="inlineStr">
        <is>
          <t>ÖSTERSUND</t>
        </is>
      </c>
      <c r="G52" t="n">
        <v>2.8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Svart trolldruva
Blåsippa</t>
        </is>
      </c>
      <c r="S52">
        <f>HYPERLINK("https://klasma.github.io/Logging_OSTERSUND/artfynd/A 70401-2018.xlsx")</f>
        <v/>
      </c>
      <c r="T52">
        <f>HYPERLINK("https://klasma.github.io/Logging_OSTERSUND/kartor/A 70401-2018.png")</f>
        <v/>
      </c>
      <c r="V52">
        <f>HYPERLINK("https://klasma.github.io/Logging_OSTERSUND/klagomål/A 70401-2018.docx")</f>
        <v/>
      </c>
      <c r="W52">
        <f>HYPERLINK("https://klasma.github.io/Logging_OSTERSUND/klagomålsmail/A 70401-2018.docx")</f>
        <v/>
      </c>
      <c r="X52">
        <f>HYPERLINK("https://klasma.github.io/Logging_OSTERSUND/tillsyn/A 70401-2018.docx")</f>
        <v/>
      </c>
      <c r="Y52">
        <f>HYPERLINK("https://klasma.github.io/Logging_OSTERSUND/tillsynsmail/A 70401-2018.docx")</f>
        <v/>
      </c>
    </row>
    <row r="53" ht="15" customHeight="1">
      <c r="A53" t="inlineStr">
        <is>
          <t>A 35996-2019</t>
        </is>
      </c>
      <c r="B53" s="1" t="n">
        <v>43656</v>
      </c>
      <c r="C53" s="1" t="n">
        <v>45172</v>
      </c>
      <c r="D53" t="inlineStr">
        <is>
          <t>JÄMTLANDS LÄN</t>
        </is>
      </c>
      <c r="E53" t="inlineStr">
        <is>
          <t>ÖSTERSUND</t>
        </is>
      </c>
      <c r="F53" t="inlineStr">
        <is>
          <t>SCA</t>
        </is>
      </c>
      <c r="G53" t="n">
        <v>1.4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Blåsippa</t>
        </is>
      </c>
      <c r="S53">
        <f>HYPERLINK("https://klasma.github.io/Logging_OSTERSUND/artfynd/A 35996-2019.xlsx")</f>
        <v/>
      </c>
      <c r="T53">
        <f>HYPERLINK("https://klasma.github.io/Logging_OSTERSUND/kartor/A 35996-2019.png")</f>
        <v/>
      </c>
      <c r="V53">
        <f>HYPERLINK("https://klasma.github.io/Logging_OSTERSUND/klagomål/A 35996-2019.docx")</f>
        <v/>
      </c>
      <c r="W53">
        <f>HYPERLINK("https://klasma.github.io/Logging_OSTERSUND/klagomålsmail/A 35996-2019.docx")</f>
        <v/>
      </c>
      <c r="X53">
        <f>HYPERLINK("https://klasma.github.io/Logging_OSTERSUND/tillsyn/A 35996-2019.docx")</f>
        <v/>
      </c>
      <c r="Y53">
        <f>HYPERLINK("https://klasma.github.io/Logging_OSTERSUND/tillsynsmail/A 35996-2019.docx")</f>
        <v/>
      </c>
    </row>
    <row r="54" ht="15" customHeight="1">
      <c r="A54" t="inlineStr">
        <is>
          <t>A 29583-2021</t>
        </is>
      </c>
      <c r="B54" s="1" t="n">
        <v>44361</v>
      </c>
      <c r="C54" s="1" t="n">
        <v>45172</v>
      </c>
      <c r="D54" t="inlineStr">
        <is>
          <t>JÄMTLANDS LÄN</t>
        </is>
      </c>
      <c r="E54" t="inlineStr">
        <is>
          <t>ÖSTERSUND</t>
        </is>
      </c>
      <c r="G54" t="n">
        <v>11.7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Kransrams
Blåsippa</t>
        </is>
      </c>
      <c r="S54">
        <f>HYPERLINK("https://klasma.github.io/Logging_OSTERSUND/artfynd/A 29583-2021.xlsx")</f>
        <v/>
      </c>
      <c r="T54">
        <f>HYPERLINK("https://klasma.github.io/Logging_OSTERSUND/kartor/A 29583-2021.png")</f>
        <v/>
      </c>
      <c r="V54">
        <f>HYPERLINK("https://klasma.github.io/Logging_OSTERSUND/klagomål/A 29583-2021.docx")</f>
        <v/>
      </c>
      <c r="W54">
        <f>HYPERLINK("https://klasma.github.io/Logging_OSTERSUND/klagomålsmail/A 29583-2021.docx")</f>
        <v/>
      </c>
      <c r="X54">
        <f>HYPERLINK("https://klasma.github.io/Logging_OSTERSUND/tillsyn/A 29583-2021.docx")</f>
        <v/>
      </c>
      <c r="Y54">
        <f>HYPERLINK("https://klasma.github.io/Logging_OSTERSUND/tillsynsmail/A 29583-2021.docx")</f>
        <v/>
      </c>
    </row>
    <row r="55" ht="15" customHeight="1">
      <c r="A55" t="inlineStr">
        <is>
          <t>A 30105-2021</t>
        </is>
      </c>
      <c r="B55" s="1" t="n">
        <v>44363</v>
      </c>
      <c r="C55" s="1" t="n">
        <v>45172</v>
      </c>
      <c r="D55" t="inlineStr">
        <is>
          <t>JÄMTLANDS LÄN</t>
        </is>
      </c>
      <c r="E55" t="inlineStr">
        <is>
          <t>ÖSTERSUND</t>
        </is>
      </c>
      <c r="G55" t="n">
        <v>2</v>
      </c>
      <c r="H55" t="n">
        <v>0</v>
      </c>
      <c r="I55" t="n">
        <v>2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Grönpyrola
Ögonpyrola</t>
        </is>
      </c>
      <c r="S55">
        <f>HYPERLINK("https://klasma.github.io/Logging_OSTERSUND/artfynd/A 30105-2021.xlsx")</f>
        <v/>
      </c>
      <c r="T55">
        <f>HYPERLINK("https://klasma.github.io/Logging_OSTERSUND/kartor/A 30105-2021.png")</f>
        <v/>
      </c>
      <c r="V55">
        <f>HYPERLINK("https://klasma.github.io/Logging_OSTERSUND/klagomål/A 30105-2021.docx")</f>
        <v/>
      </c>
      <c r="W55">
        <f>HYPERLINK("https://klasma.github.io/Logging_OSTERSUND/klagomålsmail/A 30105-2021.docx")</f>
        <v/>
      </c>
      <c r="X55">
        <f>HYPERLINK("https://klasma.github.io/Logging_OSTERSUND/tillsyn/A 30105-2021.docx")</f>
        <v/>
      </c>
      <c r="Y55">
        <f>HYPERLINK("https://klasma.github.io/Logging_OSTERSUND/tillsynsmail/A 30105-2021.docx")</f>
        <v/>
      </c>
    </row>
    <row r="56" ht="15" customHeight="1">
      <c r="A56" t="inlineStr">
        <is>
          <t>A 46105-2021</t>
        </is>
      </c>
      <c r="B56" s="1" t="n">
        <v>44441</v>
      </c>
      <c r="C56" s="1" t="n">
        <v>45172</v>
      </c>
      <c r="D56" t="inlineStr">
        <is>
          <t>JÄMTLANDS LÄN</t>
        </is>
      </c>
      <c r="E56" t="inlineStr">
        <is>
          <t>ÖSTERSUND</t>
        </is>
      </c>
      <c r="G56" t="n">
        <v>4.4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Tallbit
Tretåig hackspett</t>
        </is>
      </c>
      <c r="S56">
        <f>HYPERLINK("https://klasma.github.io/Logging_OSTERSUND/artfynd/A 46105-2021.xlsx")</f>
        <v/>
      </c>
      <c r="T56">
        <f>HYPERLINK("https://klasma.github.io/Logging_OSTERSUND/kartor/A 46105-2021.png")</f>
        <v/>
      </c>
      <c r="V56">
        <f>HYPERLINK("https://klasma.github.io/Logging_OSTERSUND/klagomål/A 46105-2021.docx")</f>
        <v/>
      </c>
      <c r="W56">
        <f>HYPERLINK("https://klasma.github.io/Logging_OSTERSUND/klagomålsmail/A 46105-2021.docx")</f>
        <v/>
      </c>
      <c r="X56">
        <f>HYPERLINK("https://klasma.github.io/Logging_OSTERSUND/tillsyn/A 46105-2021.docx")</f>
        <v/>
      </c>
      <c r="Y56">
        <f>HYPERLINK("https://klasma.github.io/Logging_OSTERSUND/tillsynsmail/A 46105-2021.docx")</f>
        <v/>
      </c>
    </row>
    <row r="57" ht="15" customHeight="1">
      <c r="A57" t="inlineStr">
        <is>
          <t>A 63601-2021</t>
        </is>
      </c>
      <c r="B57" s="1" t="n">
        <v>44508</v>
      </c>
      <c r="C57" s="1" t="n">
        <v>45172</v>
      </c>
      <c r="D57" t="inlineStr">
        <is>
          <t>JÄMTLANDS LÄN</t>
        </is>
      </c>
      <c r="E57" t="inlineStr">
        <is>
          <t>ÖSTERSUND</t>
        </is>
      </c>
      <c r="F57" t="inlineStr">
        <is>
          <t>SCA</t>
        </is>
      </c>
      <c r="G57" t="n">
        <v>2.9</v>
      </c>
      <c r="H57" t="n">
        <v>0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Läderdoftande fingersvamp
Blodvaxskivling</t>
        </is>
      </c>
      <c r="S57">
        <f>HYPERLINK("https://klasma.github.io/Logging_OSTERSUND/artfynd/A 63601-2021.xlsx")</f>
        <v/>
      </c>
      <c r="T57">
        <f>HYPERLINK("https://klasma.github.io/Logging_OSTERSUND/kartor/A 63601-2021.png")</f>
        <v/>
      </c>
      <c r="V57">
        <f>HYPERLINK("https://klasma.github.io/Logging_OSTERSUND/klagomål/A 63601-2021.docx")</f>
        <v/>
      </c>
      <c r="W57">
        <f>HYPERLINK("https://klasma.github.io/Logging_OSTERSUND/klagomålsmail/A 63601-2021.docx")</f>
        <v/>
      </c>
      <c r="X57">
        <f>HYPERLINK("https://klasma.github.io/Logging_OSTERSUND/tillsyn/A 63601-2021.docx")</f>
        <v/>
      </c>
      <c r="Y57">
        <f>HYPERLINK("https://klasma.github.io/Logging_OSTERSUND/tillsynsmail/A 63601-2021.docx")</f>
        <v/>
      </c>
    </row>
    <row r="58" ht="15" customHeight="1">
      <c r="A58" t="inlineStr">
        <is>
          <t>A 19511-2022</t>
        </is>
      </c>
      <c r="B58" s="1" t="n">
        <v>44693</v>
      </c>
      <c r="C58" s="1" t="n">
        <v>45172</v>
      </c>
      <c r="D58" t="inlineStr">
        <is>
          <t>JÄMTLANDS LÄN</t>
        </is>
      </c>
      <c r="E58" t="inlineStr">
        <is>
          <t>ÖSTERSUND</t>
        </is>
      </c>
      <c r="G58" t="n">
        <v>0.9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Ullticka</t>
        </is>
      </c>
      <c r="S58">
        <f>HYPERLINK("https://klasma.github.io/Logging_OSTERSUND/artfynd/A 19511-2022.xlsx")</f>
        <v/>
      </c>
      <c r="T58">
        <f>HYPERLINK("https://klasma.github.io/Logging_OSTERSUND/kartor/A 19511-2022.png")</f>
        <v/>
      </c>
      <c r="U58">
        <f>HYPERLINK("https://klasma.github.io/Logging_OSTERSUND/knärot/A 19511-2022.png")</f>
        <v/>
      </c>
      <c r="V58">
        <f>HYPERLINK("https://klasma.github.io/Logging_OSTERSUND/klagomål/A 19511-2022.docx")</f>
        <v/>
      </c>
      <c r="W58">
        <f>HYPERLINK("https://klasma.github.io/Logging_OSTERSUND/klagomålsmail/A 19511-2022.docx")</f>
        <v/>
      </c>
      <c r="X58">
        <f>HYPERLINK("https://klasma.github.io/Logging_OSTERSUND/tillsyn/A 19511-2022.docx")</f>
        <v/>
      </c>
      <c r="Y58">
        <f>HYPERLINK("https://klasma.github.io/Logging_OSTERSUND/tillsynsmail/A 19511-2022.docx")</f>
        <v/>
      </c>
    </row>
    <row r="59" ht="15" customHeight="1">
      <c r="A59" t="inlineStr">
        <is>
          <t>A 47385-2022</t>
        </is>
      </c>
      <c r="B59" s="1" t="n">
        <v>44853</v>
      </c>
      <c r="C59" s="1" t="n">
        <v>45172</v>
      </c>
      <c r="D59" t="inlineStr">
        <is>
          <t>JÄMTLANDS LÄN</t>
        </is>
      </c>
      <c r="E59" t="inlineStr">
        <is>
          <t>ÖSTERSUND</t>
        </is>
      </c>
      <c r="G59" t="n">
        <v>0.9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Ullticka</t>
        </is>
      </c>
      <c r="S59">
        <f>HYPERLINK("https://klasma.github.io/Logging_OSTERSUND/artfynd/A 47385-2022.xlsx")</f>
        <v/>
      </c>
      <c r="T59">
        <f>HYPERLINK("https://klasma.github.io/Logging_OSTERSUND/kartor/A 47385-2022.png")</f>
        <v/>
      </c>
      <c r="U59">
        <f>HYPERLINK("https://klasma.github.io/Logging_OSTERSUND/knärot/A 47385-2022.png")</f>
        <v/>
      </c>
      <c r="V59">
        <f>HYPERLINK("https://klasma.github.io/Logging_OSTERSUND/klagomål/A 47385-2022.docx")</f>
        <v/>
      </c>
      <c r="W59">
        <f>HYPERLINK("https://klasma.github.io/Logging_OSTERSUND/klagomålsmail/A 47385-2022.docx")</f>
        <v/>
      </c>
      <c r="X59">
        <f>HYPERLINK("https://klasma.github.io/Logging_OSTERSUND/tillsyn/A 47385-2022.docx")</f>
        <v/>
      </c>
      <c r="Y59">
        <f>HYPERLINK("https://klasma.github.io/Logging_OSTERSUND/tillsynsmail/A 47385-2022.docx")</f>
        <v/>
      </c>
    </row>
    <row r="60" ht="15" customHeight="1">
      <c r="A60" t="inlineStr">
        <is>
          <t>A 60534-2022</t>
        </is>
      </c>
      <c r="B60" s="1" t="n">
        <v>44904</v>
      </c>
      <c r="C60" s="1" t="n">
        <v>45172</v>
      </c>
      <c r="D60" t="inlineStr">
        <is>
          <t>JÄMTLANDS LÄN</t>
        </is>
      </c>
      <c r="E60" t="inlineStr">
        <is>
          <t>ÖSTERSUND</t>
        </is>
      </c>
      <c r="G60" t="n">
        <v>9.9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Rosenticka
Ullticka</t>
        </is>
      </c>
      <c r="S60">
        <f>HYPERLINK("https://klasma.github.io/Logging_OSTERSUND/artfynd/A 60534-2022.xlsx")</f>
        <v/>
      </c>
      <c r="T60">
        <f>HYPERLINK("https://klasma.github.io/Logging_OSTERSUND/kartor/A 60534-2022.png")</f>
        <v/>
      </c>
      <c r="V60">
        <f>HYPERLINK("https://klasma.github.io/Logging_OSTERSUND/klagomål/A 60534-2022.docx")</f>
        <v/>
      </c>
      <c r="W60">
        <f>HYPERLINK("https://klasma.github.io/Logging_OSTERSUND/klagomålsmail/A 60534-2022.docx")</f>
        <v/>
      </c>
      <c r="X60">
        <f>HYPERLINK("https://klasma.github.io/Logging_OSTERSUND/tillsyn/A 60534-2022.docx")</f>
        <v/>
      </c>
      <c r="Y60">
        <f>HYPERLINK("https://klasma.github.io/Logging_OSTERSUND/tillsynsmail/A 60534-2022.docx")</f>
        <v/>
      </c>
    </row>
    <row r="61" ht="15" customHeight="1">
      <c r="A61" t="inlineStr">
        <is>
          <t>A 59793-2022</t>
        </is>
      </c>
      <c r="B61" s="1" t="n">
        <v>44908</v>
      </c>
      <c r="C61" s="1" t="n">
        <v>45172</v>
      </c>
      <c r="D61" t="inlineStr">
        <is>
          <t>JÄMTLANDS LÄN</t>
        </is>
      </c>
      <c r="E61" t="inlineStr">
        <is>
          <t>ÖSTERSUND</t>
        </is>
      </c>
      <c r="G61" t="n">
        <v>23.3</v>
      </c>
      <c r="H61" t="n">
        <v>1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Majviva
Spindelblomster</t>
        </is>
      </c>
      <c r="S61">
        <f>HYPERLINK("https://klasma.github.io/Logging_OSTERSUND/artfynd/A 59793-2022.xlsx")</f>
        <v/>
      </c>
      <c r="T61">
        <f>HYPERLINK("https://klasma.github.io/Logging_OSTERSUND/kartor/A 59793-2022.png")</f>
        <v/>
      </c>
      <c r="V61">
        <f>HYPERLINK("https://klasma.github.io/Logging_OSTERSUND/klagomål/A 59793-2022.docx")</f>
        <v/>
      </c>
      <c r="W61">
        <f>HYPERLINK("https://klasma.github.io/Logging_OSTERSUND/klagomålsmail/A 59793-2022.docx")</f>
        <v/>
      </c>
      <c r="X61">
        <f>HYPERLINK("https://klasma.github.io/Logging_OSTERSUND/tillsyn/A 59793-2022.docx")</f>
        <v/>
      </c>
      <c r="Y61">
        <f>HYPERLINK("https://klasma.github.io/Logging_OSTERSUND/tillsynsmail/A 59793-2022.docx")</f>
        <v/>
      </c>
    </row>
    <row r="62" ht="15" customHeight="1">
      <c r="A62" t="inlineStr">
        <is>
          <t>A 60614-2022</t>
        </is>
      </c>
      <c r="B62" s="1" t="n">
        <v>44911</v>
      </c>
      <c r="C62" s="1" t="n">
        <v>45172</v>
      </c>
      <c r="D62" t="inlineStr">
        <is>
          <t>JÄMTLANDS LÄN</t>
        </is>
      </c>
      <c r="E62" t="inlineStr">
        <is>
          <t>ÖSTERSUND</t>
        </is>
      </c>
      <c r="G62" t="n">
        <v>17.6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Dropptaggsvamp
Blåsippa</t>
        </is>
      </c>
      <c r="S62">
        <f>HYPERLINK("https://klasma.github.io/Logging_OSTERSUND/artfynd/A 60614-2022.xlsx")</f>
        <v/>
      </c>
      <c r="T62">
        <f>HYPERLINK("https://klasma.github.io/Logging_OSTERSUND/kartor/A 60614-2022.png")</f>
        <v/>
      </c>
      <c r="V62">
        <f>HYPERLINK("https://klasma.github.io/Logging_OSTERSUND/klagomål/A 60614-2022.docx")</f>
        <v/>
      </c>
      <c r="W62">
        <f>HYPERLINK("https://klasma.github.io/Logging_OSTERSUND/klagomålsmail/A 60614-2022.docx")</f>
        <v/>
      </c>
      <c r="X62">
        <f>HYPERLINK("https://klasma.github.io/Logging_OSTERSUND/tillsyn/A 60614-2022.docx")</f>
        <v/>
      </c>
      <c r="Y62">
        <f>HYPERLINK("https://klasma.github.io/Logging_OSTERSUND/tillsynsmail/A 60614-2022.docx")</f>
        <v/>
      </c>
    </row>
    <row r="63" ht="15" customHeight="1">
      <c r="A63" t="inlineStr">
        <is>
          <t>A 19147-2023</t>
        </is>
      </c>
      <c r="B63" s="1" t="n">
        <v>45044</v>
      </c>
      <c r="C63" s="1" t="n">
        <v>45172</v>
      </c>
      <c r="D63" t="inlineStr">
        <is>
          <t>JÄMTLANDS LÄN</t>
        </is>
      </c>
      <c r="E63" t="inlineStr">
        <is>
          <t>ÖSTERSUND</t>
        </is>
      </c>
      <c r="G63" t="n">
        <v>5</v>
      </c>
      <c r="H63" t="n">
        <v>0</v>
      </c>
      <c r="I63" t="n">
        <v>0</v>
      </c>
      <c r="J63" t="n">
        <v>1</v>
      </c>
      <c r="K63" t="n">
        <v>0</v>
      </c>
      <c r="L63" t="n">
        <v>1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Bredgentiana
Scharlakansvaxskivling</t>
        </is>
      </c>
      <c r="S63">
        <f>HYPERLINK("https://klasma.github.io/Logging_OSTERSUND/artfynd/A 19147-2023.xlsx")</f>
        <v/>
      </c>
      <c r="T63">
        <f>HYPERLINK("https://klasma.github.io/Logging_OSTERSUND/kartor/A 19147-2023.png")</f>
        <v/>
      </c>
      <c r="V63">
        <f>HYPERLINK("https://klasma.github.io/Logging_OSTERSUND/klagomål/A 19147-2023.docx")</f>
        <v/>
      </c>
      <c r="W63">
        <f>HYPERLINK("https://klasma.github.io/Logging_OSTERSUND/klagomålsmail/A 19147-2023.docx")</f>
        <v/>
      </c>
      <c r="X63">
        <f>HYPERLINK("https://klasma.github.io/Logging_OSTERSUND/tillsyn/A 19147-2023.docx")</f>
        <v/>
      </c>
      <c r="Y63">
        <f>HYPERLINK("https://klasma.github.io/Logging_OSTERSUND/tillsynsmail/A 19147-2023.docx")</f>
        <v/>
      </c>
    </row>
    <row r="64" ht="15" customHeight="1">
      <c r="A64" t="inlineStr">
        <is>
          <t>A 38334-2023</t>
        </is>
      </c>
      <c r="B64" s="1" t="n">
        <v>45161</v>
      </c>
      <c r="C64" s="1" t="n">
        <v>45172</v>
      </c>
      <c r="D64" t="inlineStr">
        <is>
          <t>JÄMTLANDS LÄN</t>
        </is>
      </c>
      <c r="E64" t="inlineStr">
        <is>
          <t>ÖSTERSUND</t>
        </is>
      </c>
      <c r="G64" t="n">
        <v>10.5</v>
      </c>
      <c r="H64" t="n">
        <v>0</v>
      </c>
      <c r="I64" t="n">
        <v>0</v>
      </c>
      <c r="J64" t="n">
        <v>0</v>
      </c>
      <c r="K64" t="n">
        <v>2</v>
      </c>
      <c r="L64" t="n">
        <v>0</v>
      </c>
      <c r="M64" t="n">
        <v>0</v>
      </c>
      <c r="N64" t="n">
        <v>0</v>
      </c>
      <c r="O64" t="n">
        <v>2</v>
      </c>
      <c r="P64" t="n">
        <v>2</v>
      </c>
      <c r="Q64" t="n">
        <v>2</v>
      </c>
      <c r="R64" s="2" t="inlineStr">
        <is>
          <t>Rynkskinn
Violett fingersvamp</t>
        </is>
      </c>
      <c r="S64">
        <f>HYPERLINK("https://klasma.github.io/Logging_OSTERSUND/artfynd/A 38334-2023.xlsx")</f>
        <v/>
      </c>
      <c r="T64">
        <f>HYPERLINK("https://klasma.github.io/Logging_OSTERSUND/kartor/A 38334-2023.png")</f>
        <v/>
      </c>
      <c r="V64">
        <f>HYPERLINK("https://klasma.github.io/Logging_OSTERSUND/klagomål/A 38334-2023.docx")</f>
        <v/>
      </c>
      <c r="W64">
        <f>HYPERLINK("https://klasma.github.io/Logging_OSTERSUND/klagomålsmail/A 38334-2023.docx")</f>
        <v/>
      </c>
      <c r="X64">
        <f>HYPERLINK("https://klasma.github.io/Logging_OSTERSUND/tillsyn/A 38334-2023.docx")</f>
        <v/>
      </c>
      <c r="Y64">
        <f>HYPERLINK("https://klasma.github.io/Logging_OSTERSUND/tillsynsmail/A 38334-2023.docx")</f>
        <v/>
      </c>
    </row>
    <row r="65" ht="15" customHeight="1">
      <c r="A65" t="inlineStr">
        <is>
          <t>A 59147-2018</t>
        </is>
      </c>
      <c r="B65" s="1" t="n">
        <v>43417</v>
      </c>
      <c r="C65" s="1" t="n">
        <v>45172</v>
      </c>
      <c r="D65" t="inlineStr">
        <is>
          <t>JÄMTLANDS LÄN</t>
        </is>
      </c>
      <c r="E65" t="inlineStr">
        <is>
          <t>ÖSTERSUND</t>
        </is>
      </c>
      <c r="F65" t="inlineStr">
        <is>
          <t>Kommuner</t>
        </is>
      </c>
      <c r="G65" t="n">
        <v>15.4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Skogshare</t>
        </is>
      </c>
      <c r="S65">
        <f>HYPERLINK("https://klasma.github.io/Logging_OSTERSUND/artfynd/A 59147-2018.xlsx")</f>
        <v/>
      </c>
      <c r="T65">
        <f>HYPERLINK("https://klasma.github.io/Logging_OSTERSUND/kartor/A 59147-2018.png")</f>
        <v/>
      </c>
      <c r="V65">
        <f>HYPERLINK("https://klasma.github.io/Logging_OSTERSUND/klagomål/A 59147-2018.docx")</f>
        <v/>
      </c>
      <c r="W65">
        <f>HYPERLINK("https://klasma.github.io/Logging_OSTERSUND/klagomålsmail/A 59147-2018.docx")</f>
        <v/>
      </c>
      <c r="X65">
        <f>HYPERLINK("https://klasma.github.io/Logging_OSTERSUND/tillsyn/A 59147-2018.docx")</f>
        <v/>
      </c>
      <c r="Y65">
        <f>HYPERLINK("https://klasma.github.io/Logging_OSTERSUND/tillsynsmail/A 59147-2018.docx")</f>
        <v/>
      </c>
    </row>
    <row r="66" ht="15" customHeight="1">
      <c r="A66" t="inlineStr">
        <is>
          <t>A 30941-2019</t>
        </is>
      </c>
      <c r="B66" s="1" t="n">
        <v>43636</v>
      </c>
      <c r="C66" s="1" t="n">
        <v>45172</v>
      </c>
      <c r="D66" t="inlineStr">
        <is>
          <t>JÄMTLANDS LÄN</t>
        </is>
      </c>
      <c r="E66" t="inlineStr">
        <is>
          <t>ÖSTERSUND</t>
        </is>
      </c>
      <c r="F66" t="inlineStr">
        <is>
          <t>SCA</t>
        </is>
      </c>
      <c r="G66" t="n">
        <v>1.9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Tvåblad</t>
        </is>
      </c>
      <c r="S66">
        <f>HYPERLINK("https://klasma.github.io/Logging_OSTERSUND/artfynd/A 30941-2019.xlsx")</f>
        <v/>
      </c>
      <c r="T66">
        <f>HYPERLINK("https://klasma.github.io/Logging_OSTERSUND/kartor/A 30941-2019.png")</f>
        <v/>
      </c>
      <c r="V66">
        <f>HYPERLINK("https://klasma.github.io/Logging_OSTERSUND/klagomål/A 30941-2019.docx")</f>
        <v/>
      </c>
      <c r="W66">
        <f>HYPERLINK("https://klasma.github.io/Logging_OSTERSUND/klagomålsmail/A 30941-2019.docx")</f>
        <v/>
      </c>
      <c r="X66">
        <f>HYPERLINK("https://klasma.github.io/Logging_OSTERSUND/tillsyn/A 30941-2019.docx")</f>
        <v/>
      </c>
      <c r="Y66">
        <f>HYPERLINK("https://klasma.github.io/Logging_OSTERSUND/tillsynsmail/A 30941-2019.docx")</f>
        <v/>
      </c>
    </row>
    <row r="67" ht="15" customHeight="1">
      <c r="A67" t="inlineStr">
        <is>
          <t>A 57757-2019</t>
        </is>
      </c>
      <c r="B67" s="1" t="n">
        <v>43768</v>
      </c>
      <c r="C67" s="1" t="n">
        <v>45172</v>
      </c>
      <c r="D67" t="inlineStr">
        <is>
          <t>JÄMTLANDS LÄN</t>
        </is>
      </c>
      <c r="E67" t="inlineStr">
        <is>
          <t>ÖSTERSUND</t>
        </is>
      </c>
      <c r="G67" t="n">
        <v>1.3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Revlummer</t>
        </is>
      </c>
      <c r="S67">
        <f>HYPERLINK("https://klasma.github.io/Logging_OSTERSUND/artfynd/A 57757-2019.xlsx")</f>
        <v/>
      </c>
      <c r="T67">
        <f>HYPERLINK("https://klasma.github.io/Logging_OSTERSUND/kartor/A 57757-2019.png")</f>
        <v/>
      </c>
      <c r="V67">
        <f>HYPERLINK("https://klasma.github.io/Logging_OSTERSUND/klagomål/A 57757-2019.docx")</f>
        <v/>
      </c>
      <c r="W67">
        <f>HYPERLINK("https://klasma.github.io/Logging_OSTERSUND/klagomålsmail/A 57757-2019.docx")</f>
        <v/>
      </c>
      <c r="X67">
        <f>HYPERLINK("https://klasma.github.io/Logging_OSTERSUND/tillsyn/A 57757-2019.docx")</f>
        <v/>
      </c>
      <c r="Y67">
        <f>HYPERLINK("https://klasma.github.io/Logging_OSTERSUND/tillsynsmail/A 57757-2019.docx")</f>
        <v/>
      </c>
    </row>
    <row r="68" ht="15" customHeight="1">
      <c r="A68" t="inlineStr">
        <is>
          <t>A 61628-2019</t>
        </is>
      </c>
      <c r="B68" s="1" t="n">
        <v>43784</v>
      </c>
      <c r="C68" s="1" t="n">
        <v>45172</v>
      </c>
      <c r="D68" t="inlineStr">
        <is>
          <t>JÄMTLANDS LÄN</t>
        </is>
      </c>
      <c r="E68" t="inlineStr">
        <is>
          <t>ÖSTERSUND</t>
        </is>
      </c>
      <c r="G68" t="n">
        <v>5.6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HYPERLINK("https://klasma.github.io/Logging_OSTERSUND/artfynd/A 61628-2019.xlsx")</f>
        <v/>
      </c>
      <c r="T68">
        <f>HYPERLINK("https://klasma.github.io/Logging_OSTERSUND/kartor/A 61628-2019.png")</f>
        <v/>
      </c>
      <c r="V68">
        <f>HYPERLINK("https://klasma.github.io/Logging_OSTERSUND/klagomål/A 61628-2019.docx")</f>
        <v/>
      </c>
      <c r="W68">
        <f>HYPERLINK("https://klasma.github.io/Logging_OSTERSUND/klagomålsmail/A 61628-2019.docx")</f>
        <v/>
      </c>
      <c r="X68">
        <f>HYPERLINK("https://klasma.github.io/Logging_OSTERSUND/tillsyn/A 61628-2019.docx")</f>
        <v/>
      </c>
      <c r="Y68">
        <f>HYPERLINK("https://klasma.github.io/Logging_OSTERSUND/tillsynsmail/A 61628-2019.docx")</f>
        <v/>
      </c>
    </row>
    <row r="69" ht="15" customHeight="1">
      <c r="A69" t="inlineStr">
        <is>
          <t>A 11561-2020</t>
        </is>
      </c>
      <c r="B69" s="1" t="n">
        <v>43893</v>
      </c>
      <c r="C69" s="1" t="n">
        <v>45172</v>
      </c>
      <c r="D69" t="inlineStr">
        <is>
          <t>JÄMTLANDS LÄN</t>
        </is>
      </c>
      <c r="E69" t="inlineStr">
        <is>
          <t>ÖSTERSUND</t>
        </is>
      </c>
      <c r="G69" t="n">
        <v>6.2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HYPERLINK("https://klasma.github.io/Logging_OSTERSUND/artfynd/A 11561-2020.xlsx")</f>
        <v/>
      </c>
      <c r="T69">
        <f>HYPERLINK("https://klasma.github.io/Logging_OSTERSUND/kartor/A 11561-2020.png")</f>
        <v/>
      </c>
      <c r="V69">
        <f>HYPERLINK("https://klasma.github.io/Logging_OSTERSUND/klagomål/A 11561-2020.docx")</f>
        <v/>
      </c>
      <c r="W69">
        <f>HYPERLINK("https://klasma.github.io/Logging_OSTERSUND/klagomålsmail/A 11561-2020.docx")</f>
        <v/>
      </c>
      <c r="X69">
        <f>HYPERLINK("https://klasma.github.io/Logging_OSTERSUND/tillsyn/A 11561-2020.docx")</f>
        <v/>
      </c>
      <c r="Y69">
        <f>HYPERLINK("https://klasma.github.io/Logging_OSTERSUND/tillsynsmail/A 11561-2020.docx")</f>
        <v/>
      </c>
    </row>
    <row r="70" ht="15" customHeight="1">
      <c r="A70" t="inlineStr">
        <is>
          <t>A 35980-2020</t>
        </is>
      </c>
      <c r="B70" s="1" t="n">
        <v>44047</v>
      </c>
      <c r="C70" s="1" t="n">
        <v>45172</v>
      </c>
      <c r="D70" t="inlineStr">
        <is>
          <t>JÄMTLANDS LÄN</t>
        </is>
      </c>
      <c r="E70" t="inlineStr">
        <is>
          <t>ÖSTERSUND</t>
        </is>
      </c>
      <c r="G70" t="n">
        <v>0.7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Slåtterfibbla</t>
        </is>
      </c>
      <c r="S70">
        <f>HYPERLINK("https://klasma.github.io/Logging_OSTERSUND/artfynd/A 35980-2020.xlsx")</f>
        <v/>
      </c>
      <c r="T70">
        <f>HYPERLINK("https://klasma.github.io/Logging_OSTERSUND/kartor/A 35980-2020.png")</f>
        <v/>
      </c>
      <c r="U70">
        <f>HYPERLINK("https://klasma.github.io/Logging_OSTERSUND/knärot/A 35980-2020.png")</f>
        <v/>
      </c>
      <c r="V70">
        <f>HYPERLINK("https://klasma.github.io/Logging_OSTERSUND/klagomål/A 35980-2020.docx")</f>
        <v/>
      </c>
      <c r="W70">
        <f>HYPERLINK("https://klasma.github.io/Logging_OSTERSUND/klagomålsmail/A 35980-2020.docx")</f>
        <v/>
      </c>
      <c r="X70">
        <f>HYPERLINK("https://klasma.github.io/Logging_OSTERSUND/tillsyn/A 35980-2020.docx")</f>
        <v/>
      </c>
      <c r="Y70">
        <f>HYPERLINK("https://klasma.github.io/Logging_OSTERSUND/tillsynsmail/A 35980-2020.docx")</f>
        <v/>
      </c>
    </row>
    <row r="71" ht="15" customHeight="1">
      <c r="A71" t="inlineStr">
        <is>
          <t>A 63775-2020</t>
        </is>
      </c>
      <c r="B71" s="1" t="n">
        <v>44165</v>
      </c>
      <c r="C71" s="1" t="n">
        <v>45172</v>
      </c>
      <c r="D71" t="inlineStr">
        <is>
          <t>JÄMTLANDS LÄN</t>
        </is>
      </c>
      <c r="E71" t="inlineStr">
        <is>
          <t>ÖSTERSUND</t>
        </is>
      </c>
      <c r="G71" t="n">
        <v>6.2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HYPERLINK("https://klasma.github.io/Logging_OSTERSUND/artfynd/A 63775-2020.xlsx")</f>
        <v/>
      </c>
      <c r="T71">
        <f>HYPERLINK("https://klasma.github.io/Logging_OSTERSUND/kartor/A 63775-2020.png")</f>
        <v/>
      </c>
      <c r="V71">
        <f>HYPERLINK("https://klasma.github.io/Logging_OSTERSUND/klagomål/A 63775-2020.docx")</f>
        <v/>
      </c>
      <c r="W71">
        <f>HYPERLINK("https://klasma.github.io/Logging_OSTERSUND/klagomålsmail/A 63775-2020.docx")</f>
        <v/>
      </c>
      <c r="X71">
        <f>HYPERLINK("https://klasma.github.io/Logging_OSTERSUND/tillsyn/A 63775-2020.docx")</f>
        <v/>
      </c>
      <c r="Y71">
        <f>HYPERLINK("https://klasma.github.io/Logging_OSTERSUND/tillsynsmail/A 63775-2020.docx")</f>
        <v/>
      </c>
    </row>
    <row r="72" ht="15" customHeight="1">
      <c r="A72" t="inlineStr">
        <is>
          <t>A 13362-2021</t>
        </is>
      </c>
      <c r="B72" s="1" t="n">
        <v>44272</v>
      </c>
      <c r="C72" s="1" t="n">
        <v>45172</v>
      </c>
      <c r="D72" t="inlineStr">
        <is>
          <t>JÄMTLANDS LÄN</t>
        </is>
      </c>
      <c r="E72" t="inlineStr">
        <is>
          <t>ÖSTERSUND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HYPERLINK("https://klasma.github.io/Logging_OSTERSUND/artfynd/A 13362-2021.xlsx")</f>
        <v/>
      </c>
      <c r="T72">
        <f>HYPERLINK("https://klasma.github.io/Logging_OSTERSUND/kartor/A 13362-2021.png")</f>
        <v/>
      </c>
      <c r="V72">
        <f>HYPERLINK("https://klasma.github.io/Logging_OSTERSUND/klagomål/A 13362-2021.docx")</f>
        <v/>
      </c>
      <c r="W72">
        <f>HYPERLINK("https://klasma.github.io/Logging_OSTERSUND/klagomålsmail/A 13362-2021.docx")</f>
        <v/>
      </c>
      <c r="X72">
        <f>HYPERLINK("https://klasma.github.io/Logging_OSTERSUND/tillsyn/A 13362-2021.docx")</f>
        <v/>
      </c>
      <c r="Y72">
        <f>HYPERLINK("https://klasma.github.io/Logging_OSTERSUND/tillsynsmail/A 13362-2021.docx")</f>
        <v/>
      </c>
    </row>
    <row r="73" ht="15" customHeight="1">
      <c r="A73" t="inlineStr">
        <is>
          <t>A 25839-2021</t>
        </is>
      </c>
      <c r="B73" s="1" t="n">
        <v>44343</v>
      </c>
      <c r="C73" s="1" t="n">
        <v>45172</v>
      </c>
      <c r="D73" t="inlineStr">
        <is>
          <t>JÄMTLANDS LÄN</t>
        </is>
      </c>
      <c r="E73" t="inlineStr">
        <is>
          <t>ÖSTERSUND</t>
        </is>
      </c>
      <c r="G73" t="n">
        <v>13</v>
      </c>
      <c r="H73" t="n">
        <v>1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guldvinge</t>
        </is>
      </c>
      <c r="S73">
        <f>HYPERLINK("https://klasma.github.io/Logging_OSTERSUND/artfynd/A 25839-2021.xlsx")</f>
        <v/>
      </c>
      <c r="T73">
        <f>HYPERLINK("https://klasma.github.io/Logging_OSTERSUND/kartor/A 25839-2021.png")</f>
        <v/>
      </c>
      <c r="V73">
        <f>HYPERLINK("https://klasma.github.io/Logging_OSTERSUND/klagomål/A 25839-2021.docx")</f>
        <v/>
      </c>
      <c r="W73">
        <f>HYPERLINK("https://klasma.github.io/Logging_OSTERSUND/klagomålsmail/A 25839-2021.docx")</f>
        <v/>
      </c>
      <c r="X73">
        <f>HYPERLINK("https://klasma.github.io/Logging_OSTERSUND/tillsyn/A 25839-2021.docx")</f>
        <v/>
      </c>
      <c r="Y73">
        <f>HYPERLINK("https://klasma.github.io/Logging_OSTERSUND/tillsynsmail/A 25839-2021.docx")</f>
        <v/>
      </c>
    </row>
    <row r="74" ht="15" customHeight="1">
      <c r="A74" t="inlineStr">
        <is>
          <t>A 28287-2021</t>
        </is>
      </c>
      <c r="B74" s="1" t="n">
        <v>44355</v>
      </c>
      <c r="C74" s="1" t="n">
        <v>45172</v>
      </c>
      <c r="D74" t="inlineStr">
        <is>
          <t>JÄMTLANDS LÄN</t>
        </is>
      </c>
      <c r="E74" t="inlineStr">
        <is>
          <t>ÖSTERSUND</t>
        </is>
      </c>
      <c r="G74" t="n">
        <v>1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Garnlav</t>
        </is>
      </c>
      <c r="S74">
        <f>HYPERLINK("https://klasma.github.io/Logging_OSTERSUND/artfynd/A 28287-2021.xlsx")</f>
        <v/>
      </c>
      <c r="T74">
        <f>HYPERLINK("https://klasma.github.io/Logging_OSTERSUND/kartor/A 28287-2021.png")</f>
        <v/>
      </c>
      <c r="V74">
        <f>HYPERLINK("https://klasma.github.io/Logging_OSTERSUND/klagomål/A 28287-2021.docx")</f>
        <v/>
      </c>
      <c r="W74">
        <f>HYPERLINK("https://klasma.github.io/Logging_OSTERSUND/klagomålsmail/A 28287-2021.docx")</f>
        <v/>
      </c>
      <c r="X74">
        <f>HYPERLINK("https://klasma.github.io/Logging_OSTERSUND/tillsyn/A 28287-2021.docx")</f>
        <v/>
      </c>
      <c r="Y74">
        <f>HYPERLINK("https://klasma.github.io/Logging_OSTERSUND/tillsynsmail/A 28287-2021.docx")</f>
        <v/>
      </c>
    </row>
    <row r="75" ht="15" customHeight="1">
      <c r="A75" t="inlineStr">
        <is>
          <t>A 28286-2021</t>
        </is>
      </c>
      <c r="B75" s="1" t="n">
        <v>44355</v>
      </c>
      <c r="C75" s="1" t="n">
        <v>45172</v>
      </c>
      <c r="D75" t="inlineStr">
        <is>
          <t>JÄMTLANDS LÄN</t>
        </is>
      </c>
      <c r="E75" t="inlineStr">
        <is>
          <t>ÖSTERSUND</t>
        </is>
      </c>
      <c r="G75" t="n">
        <v>1.2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HYPERLINK("https://klasma.github.io/Logging_OSTERSUND/artfynd/A 28286-2021.xlsx")</f>
        <v/>
      </c>
      <c r="T75">
        <f>HYPERLINK("https://klasma.github.io/Logging_OSTERSUND/kartor/A 28286-2021.png")</f>
        <v/>
      </c>
      <c r="V75">
        <f>HYPERLINK("https://klasma.github.io/Logging_OSTERSUND/klagomål/A 28286-2021.docx")</f>
        <v/>
      </c>
      <c r="W75">
        <f>HYPERLINK("https://klasma.github.io/Logging_OSTERSUND/klagomålsmail/A 28286-2021.docx")</f>
        <v/>
      </c>
      <c r="X75">
        <f>HYPERLINK("https://klasma.github.io/Logging_OSTERSUND/tillsyn/A 28286-2021.docx")</f>
        <v/>
      </c>
      <c r="Y75">
        <f>HYPERLINK("https://klasma.github.io/Logging_OSTERSUND/tillsynsmail/A 28286-2021.docx")</f>
        <v/>
      </c>
    </row>
    <row r="76" ht="15" customHeight="1">
      <c r="A76" t="inlineStr">
        <is>
          <t>A 31328-2021</t>
        </is>
      </c>
      <c r="B76" s="1" t="n">
        <v>44368</v>
      </c>
      <c r="C76" s="1" t="n">
        <v>45172</v>
      </c>
      <c r="D76" t="inlineStr">
        <is>
          <t>JÄMTLANDS LÄN</t>
        </is>
      </c>
      <c r="E76" t="inlineStr">
        <is>
          <t>ÖSTERSUND</t>
        </is>
      </c>
      <c r="G76" t="n">
        <v>6.3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Fläcknycklar</t>
        </is>
      </c>
      <c r="S76">
        <f>HYPERLINK("https://klasma.github.io/Logging_OSTERSUND/artfynd/A 31328-2021.xlsx")</f>
        <v/>
      </c>
      <c r="T76">
        <f>HYPERLINK("https://klasma.github.io/Logging_OSTERSUND/kartor/A 31328-2021.png")</f>
        <v/>
      </c>
      <c r="V76">
        <f>HYPERLINK("https://klasma.github.io/Logging_OSTERSUND/klagomål/A 31328-2021.docx")</f>
        <v/>
      </c>
      <c r="W76">
        <f>HYPERLINK("https://klasma.github.io/Logging_OSTERSUND/klagomålsmail/A 31328-2021.docx")</f>
        <v/>
      </c>
      <c r="X76">
        <f>HYPERLINK("https://klasma.github.io/Logging_OSTERSUND/tillsyn/A 31328-2021.docx")</f>
        <v/>
      </c>
      <c r="Y76">
        <f>HYPERLINK("https://klasma.github.io/Logging_OSTERSUND/tillsynsmail/A 31328-2021.docx")</f>
        <v/>
      </c>
    </row>
    <row r="77" ht="15" customHeight="1">
      <c r="A77" t="inlineStr">
        <is>
          <t>A 33137-2021</t>
        </is>
      </c>
      <c r="B77" s="1" t="n">
        <v>44376</v>
      </c>
      <c r="C77" s="1" t="n">
        <v>45172</v>
      </c>
      <c r="D77" t="inlineStr">
        <is>
          <t>JÄMTLANDS LÄN</t>
        </is>
      </c>
      <c r="E77" t="inlineStr">
        <is>
          <t>ÖSTERSUND</t>
        </is>
      </c>
      <c r="F77" t="inlineStr">
        <is>
          <t>Kommuner</t>
        </is>
      </c>
      <c r="G77" t="n">
        <v>3.7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Guckusko</t>
        </is>
      </c>
      <c r="S77">
        <f>HYPERLINK("https://klasma.github.io/Logging_OSTERSUND/artfynd/A 33137-2021.xlsx")</f>
        <v/>
      </c>
      <c r="T77">
        <f>HYPERLINK("https://klasma.github.io/Logging_OSTERSUND/kartor/A 33137-2021.png")</f>
        <v/>
      </c>
      <c r="V77">
        <f>HYPERLINK("https://klasma.github.io/Logging_OSTERSUND/klagomål/A 33137-2021.docx")</f>
        <v/>
      </c>
      <c r="W77">
        <f>HYPERLINK("https://klasma.github.io/Logging_OSTERSUND/klagomålsmail/A 33137-2021.docx")</f>
        <v/>
      </c>
      <c r="X77">
        <f>HYPERLINK("https://klasma.github.io/Logging_OSTERSUND/tillsyn/A 33137-2021.docx")</f>
        <v/>
      </c>
      <c r="Y77">
        <f>HYPERLINK("https://klasma.github.io/Logging_OSTERSUND/tillsynsmail/A 33137-2021.docx")</f>
        <v/>
      </c>
    </row>
    <row r="78" ht="15" customHeight="1">
      <c r="A78" t="inlineStr">
        <is>
          <t>A 46163-2021</t>
        </is>
      </c>
      <c r="B78" s="1" t="n">
        <v>44441</v>
      </c>
      <c r="C78" s="1" t="n">
        <v>45172</v>
      </c>
      <c r="D78" t="inlineStr">
        <is>
          <t>JÄMTLANDS LÄN</t>
        </is>
      </c>
      <c r="E78" t="inlineStr">
        <is>
          <t>ÖSTERSUND</t>
        </is>
      </c>
      <c r="G78" t="n">
        <v>7.7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Tretåig hackspett</t>
        </is>
      </c>
      <c r="S78">
        <f>HYPERLINK("https://klasma.github.io/Logging_OSTERSUND/artfynd/A 46163-2021.xlsx")</f>
        <v/>
      </c>
      <c r="T78">
        <f>HYPERLINK("https://klasma.github.io/Logging_OSTERSUND/kartor/A 46163-2021.png")</f>
        <v/>
      </c>
      <c r="V78">
        <f>HYPERLINK("https://klasma.github.io/Logging_OSTERSUND/klagomål/A 46163-2021.docx")</f>
        <v/>
      </c>
      <c r="W78">
        <f>HYPERLINK("https://klasma.github.io/Logging_OSTERSUND/klagomålsmail/A 46163-2021.docx")</f>
        <v/>
      </c>
      <c r="X78">
        <f>HYPERLINK("https://klasma.github.io/Logging_OSTERSUND/tillsyn/A 46163-2021.docx")</f>
        <v/>
      </c>
      <c r="Y78">
        <f>HYPERLINK("https://klasma.github.io/Logging_OSTERSUND/tillsynsmail/A 46163-2021.docx")</f>
        <v/>
      </c>
    </row>
    <row r="79" ht="15" customHeight="1">
      <c r="A79" t="inlineStr">
        <is>
          <t>A 55821-2021</t>
        </is>
      </c>
      <c r="B79" s="1" t="n">
        <v>44476</v>
      </c>
      <c r="C79" s="1" t="n">
        <v>45172</v>
      </c>
      <c r="D79" t="inlineStr">
        <is>
          <t>JÄMTLANDS LÄN</t>
        </is>
      </c>
      <c r="E79" t="inlineStr">
        <is>
          <t>ÖSTERSUND</t>
        </is>
      </c>
      <c r="G79" t="n">
        <v>7.2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Harticka</t>
        </is>
      </c>
      <c r="S79">
        <f>HYPERLINK("https://klasma.github.io/Logging_OSTERSUND/artfynd/A 55821-2021.xlsx")</f>
        <v/>
      </c>
      <c r="T79">
        <f>HYPERLINK("https://klasma.github.io/Logging_OSTERSUND/kartor/A 55821-2021.png")</f>
        <v/>
      </c>
      <c r="V79">
        <f>HYPERLINK("https://klasma.github.io/Logging_OSTERSUND/klagomål/A 55821-2021.docx")</f>
        <v/>
      </c>
      <c r="W79">
        <f>HYPERLINK("https://klasma.github.io/Logging_OSTERSUND/klagomålsmail/A 55821-2021.docx")</f>
        <v/>
      </c>
      <c r="X79">
        <f>HYPERLINK("https://klasma.github.io/Logging_OSTERSUND/tillsyn/A 55821-2021.docx")</f>
        <v/>
      </c>
      <c r="Y79">
        <f>HYPERLINK("https://klasma.github.io/Logging_OSTERSUND/tillsynsmail/A 55821-2021.docx")</f>
        <v/>
      </c>
    </row>
    <row r="80" ht="15" customHeight="1">
      <c r="A80" t="inlineStr">
        <is>
          <t>A 59433-2021</t>
        </is>
      </c>
      <c r="B80" s="1" t="n">
        <v>44491</v>
      </c>
      <c r="C80" s="1" t="n">
        <v>45172</v>
      </c>
      <c r="D80" t="inlineStr">
        <is>
          <t>JÄMTLANDS LÄN</t>
        </is>
      </c>
      <c r="E80" t="inlineStr">
        <is>
          <t>ÖSTERSUND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HYPERLINK("https://klasma.github.io/Logging_OSTERSUND/artfynd/A 59433-2021.xlsx")</f>
        <v/>
      </c>
      <c r="T80">
        <f>HYPERLINK("https://klasma.github.io/Logging_OSTERSUND/kartor/A 59433-2021.png")</f>
        <v/>
      </c>
      <c r="V80">
        <f>HYPERLINK("https://klasma.github.io/Logging_OSTERSUND/klagomål/A 59433-2021.docx")</f>
        <v/>
      </c>
      <c r="W80">
        <f>HYPERLINK("https://klasma.github.io/Logging_OSTERSUND/klagomålsmail/A 59433-2021.docx")</f>
        <v/>
      </c>
      <c r="X80">
        <f>HYPERLINK("https://klasma.github.io/Logging_OSTERSUND/tillsyn/A 59433-2021.docx")</f>
        <v/>
      </c>
      <c r="Y80">
        <f>HYPERLINK("https://klasma.github.io/Logging_OSTERSUND/tillsynsmail/A 59433-2021.docx")</f>
        <v/>
      </c>
    </row>
    <row r="81" ht="15" customHeight="1">
      <c r="A81" t="inlineStr">
        <is>
          <t>A 9739-2022</t>
        </is>
      </c>
      <c r="B81" s="1" t="n">
        <v>44617</v>
      </c>
      <c r="C81" s="1" t="n">
        <v>45172</v>
      </c>
      <c r="D81" t="inlineStr">
        <is>
          <t>JÄMTLANDS LÄN</t>
        </is>
      </c>
      <c r="E81" t="inlineStr">
        <is>
          <t>ÖSTERSUND</t>
        </is>
      </c>
      <c r="F81" t="inlineStr">
        <is>
          <t>SCA</t>
        </is>
      </c>
      <c r="G81" t="n">
        <v>13.5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Dvärgbägarlav</t>
        </is>
      </c>
      <c r="S81">
        <f>HYPERLINK("https://klasma.github.io/Logging_OSTERSUND/artfynd/A 9739-2022.xlsx")</f>
        <v/>
      </c>
      <c r="T81">
        <f>HYPERLINK("https://klasma.github.io/Logging_OSTERSUND/kartor/A 9739-2022.png")</f>
        <v/>
      </c>
      <c r="V81">
        <f>HYPERLINK("https://klasma.github.io/Logging_OSTERSUND/klagomål/A 9739-2022.docx")</f>
        <v/>
      </c>
      <c r="W81">
        <f>HYPERLINK("https://klasma.github.io/Logging_OSTERSUND/klagomålsmail/A 9739-2022.docx")</f>
        <v/>
      </c>
      <c r="X81">
        <f>HYPERLINK("https://klasma.github.io/Logging_OSTERSUND/tillsyn/A 9739-2022.docx")</f>
        <v/>
      </c>
      <c r="Y81">
        <f>HYPERLINK("https://klasma.github.io/Logging_OSTERSUND/tillsynsmail/A 9739-2022.docx")</f>
        <v/>
      </c>
    </row>
    <row r="82" ht="15" customHeight="1">
      <c r="A82" t="inlineStr">
        <is>
          <t>A 10336-2022</t>
        </is>
      </c>
      <c r="B82" s="1" t="n">
        <v>44623</v>
      </c>
      <c r="C82" s="1" t="n">
        <v>45172</v>
      </c>
      <c r="D82" t="inlineStr">
        <is>
          <t>JÄMTLANDS LÄN</t>
        </is>
      </c>
      <c r="E82" t="inlineStr">
        <is>
          <t>ÖSTERSUND</t>
        </is>
      </c>
      <c r="G82" t="n">
        <v>0.9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Underviol</t>
        </is>
      </c>
      <c r="S82">
        <f>HYPERLINK("https://klasma.github.io/Logging_OSTERSUND/artfynd/A 10336-2022.xlsx")</f>
        <v/>
      </c>
      <c r="T82">
        <f>HYPERLINK("https://klasma.github.io/Logging_OSTERSUND/kartor/A 10336-2022.png")</f>
        <v/>
      </c>
      <c r="V82">
        <f>HYPERLINK("https://klasma.github.io/Logging_OSTERSUND/klagomål/A 10336-2022.docx")</f>
        <v/>
      </c>
      <c r="W82">
        <f>HYPERLINK("https://klasma.github.io/Logging_OSTERSUND/klagomålsmail/A 10336-2022.docx")</f>
        <v/>
      </c>
      <c r="X82">
        <f>HYPERLINK("https://klasma.github.io/Logging_OSTERSUND/tillsyn/A 10336-2022.docx")</f>
        <v/>
      </c>
      <c r="Y82">
        <f>HYPERLINK("https://klasma.github.io/Logging_OSTERSUND/tillsynsmail/A 10336-2022.docx")</f>
        <v/>
      </c>
    </row>
    <row r="83" ht="15" customHeight="1">
      <c r="A83" t="inlineStr">
        <is>
          <t>A 19798-2022</t>
        </is>
      </c>
      <c r="B83" s="1" t="n">
        <v>44694</v>
      </c>
      <c r="C83" s="1" t="n">
        <v>45172</v>
      </c>
      <c r="D83" t="inlineStr">
        <is>
          <t>JÄMTLANDS LÄN</t>
        </is>
      </c>
      <c r="E83" t="inlineStr">
        <is>
          <t>ÖSTERSUND</t>
        </is>
      </c>
      <c r="F83" t="inlineStr">
        <is>
          <t>SCA</t>
        </is>
      </c>
      <c r="G83" t="n">
        <v>1</v>
      </c>
      <c r="H83" t="n">
        <v>1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Guckusko</t>
        </is>
      </c>
      <c r="S83">
        <f>HYPERLINK("https://klasma.github.io/Logging_OSTERSUND/artfynd/A 19798-2022.xlsx")</f>
        <v/>
      </c>
      <c r="T83">
        <f>HYPERLINK("https://klasma.github.io/Logging_OSTERSUND/kartor/A 19798-2022.png")</f>
        <v/>
      </c>
      <c r="V83">
        <f>HYPERLINK("https://klasma.github.io/Logging_OSTERSUND/klagomål/A 19798-2022.docx")</f>
        <v/>
      </c>
      <c r="W83">
        <f>HYPERLINK("https://klasma.github.io/Logging_OSTERSUND/klagomålsmail/A 19798-2022.docx")</f>
        <v/>
      </c>
      <c r="X83">
        <f>HYPERLINK("https://klasma.github.io/Logging_OSTERSUND/tillsyn/A 19798-2022.docx")</f>
        <v/>
      </c>
      <c r="Y83">
        <f>HYPERLINK("https://klasma.github.io/Logging_OSTERSUND/tillsynsmail/A 19798-2022.docx")</f>
        <v/>
      </c>
    </row>
    <row r="84" ht="15" customHeight="1">
      <c r="A84" t="inlineStr">
        <is>
          <t>A 19796-2022</t>
        </is>
      </c>
      <c r="B84" s="1" t="n">
        <v>44694</v>
      </c>
      <c r="C84" s="1" t="n">
        <v>45172</v>
      </c>
      <c r="D84" t="inlineStr">
        <is>
          <t>JÄMTLANDS LÄN</t>
        </is>
      </c>
      <c r="E84" t="inlineStr">
        <is>
          <t>ÖSTERSUND</t>
        </is>
      </c>
      <c r="F84" t="inlineStr">
        <is>
          <t>SCA</t>
        </is>
      </c>
      <c r="G84" t="n">
        <v>4.8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HYPERLINK("https://klasma.github.io/Logging_OSTERSUND/artfynd/A 19796-2022.xlsx")</f>
        <v/>
      </c>
      <c r="T84">
        <f>HYPERLINK("https://klasma.github.io/Logging_OSTERSUND/kartor/A 19796-2022.png")</f>
        <v/>
      </c>
      <c r="V84">
        <f>HYPERLINK("https://klasma.github.io/Logging_OSTERSUND/klagomål/A 19796-2022.docx")</f>
        <v/>
      </c>
      <c r="W84">
        <f>HYPERLINK("https://klasma.github.io/Logging_OSTERSUND/klagomålsmail/A 19796-2022.docx")</f>
        <v/>
      </c>
      <c r="X84">
        <f>HYPERLINK("https://klasma.github.io/Logging_OSTERSUND/tillsyn/A 19796-2022.docx")</f>
        <v/>
      </c>
      <c r="Y84">
        <f>HYPERLINK("https://klasma.github.io/Logging_OSTERSUND/tillsynsmail/A 19796-2022.docx")</f>
        <v/>
      </c>
    </row>
    <row r="85" ht="15" customHeight="1">
      <c r="A85" t="inlineStr">
        <is>
          <t>A 27576-2022</t>
        </is>
      </c>
      <c r="B85" s="1" t="n">
        <v>44742</v>
      </c>
      <c r="C85" s="1" t="n">
        <v>45172</v>
      </c>
      <c r="D85" t="inlineStr">
        <is>
          <t>JÄMTLANDS LÄN</t>
        </is>
      </c>
      <c r="E85" t="inlineStr">
        <is>
          <t>ÖSTERSUND</t>
        </is>
      </c>
      <c r="F85" t="inlineStr">
        <is>
          <t>SCA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Ullticka</t>
        </is>
      </c>
      <c r="S85">
        <f>HYPERLINK("https://klasma.github.io/Logging_OSTERSUND/artfynd/A 27576-2022.xlsx")</f>
        <v/>
      </c>
      <c r="T85">
        <f>HYPERLINK("https://klasma.github.io/Logging_OSTERSUND/kartor/A 27576-2022.png")</f>
        <v/>
      </c>
      <c r="U85">
        <f>HYPERLINK("https://klasma.github.io/Logging_OSTERSUND/knärot/A 27576-2022.png")</f>
        <v/>
      </c>
      <c r="V85">
        <f>HYPERLINK("https://klasma.github.io/Logging_OSTERSUND/klagomål/A 27576-2022.docx")</f>
        <v/>
      </c>
      <c r="W85">
        <f>HYPERLINK("https://klasma.github.io/Logging_OSTERSUND/klagomålsmail/A 27576-2022.docx")</f>
        <v/>
      </c>
      <c r="X85">
        <f>HYPERLINK("https://klasma.github.io/Logging_OSTERSUND/tillsyn/A 27576-2022.docx")</f>
        <v/>
      </c>
      <c r="Y85">
        <f>HYPERLINK("https://klasma.github.io/Logging_OSTERSUND/tillsynsmail/A 27576-2022.docx")</f>
        <v/>
      </c>
    </row>
    <row r="86" ht="15" customHeight="1">
      <c r="A86" t="inlineStr">
        <is>
          <t>A 27578-2022</t>
        </is>
      </c>
      <c r="B86" s="1" t="n">
        <v>44742</v>
      </c>
      <c r="C86" s="1" t="n">
        <v>45172</v>
      </c>
      <c r="D86" t="inlineStr">
        <is>
          <t>JÄMTLANDS LÄN</t>
        </is>
      </c>
      <c r="E86" t="inlineStr">
        <is>
          <t>ÖSTERSUND</t>
        </is>
      </c>
      <c r="F86" t="inlineStr">
        <is>
          <t>SCA</t>
        </is>
      </c>
      <c r="G86" t="n">
        <v>2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Blåsippa</t>
        </is>
      </c>
      <c r="S86">
        <f>HYPERLINK("https://klasma.github.io/Logging_OSTERSUND/artfynd/A 27578-2022.xlsx")</f>
        <v/>
      </c>
      <c r="T86">
        <f>HYPERLINK("https://klasma.github.io/Logging_OSTERSUND/kartor/A 27578-2022.png")</f>
        <v/>
      </c>
      <c r="V86">
        <f>HYPERLINK("https://klasma.github.io/Logging_OSTERSUND/klagomål/A 27578-2022.docx")</f>
        <v/>
      </c>
      <c r="W86">
        <f>HYPERLINK("https://klasma.github.io/Logging_OSTERSUND/klagomålsmail/A 27578-2022.docx")</f>
        <v/>
      </c>
      <c r="X86">
        <f>HYPERLINK("https://klasma.github.io/Logging_OSTERSUND/tillsyn/A 27578-2022.docx")</f>
        <v/>
      </c>
      <c r="Y86">
        <f>HYPERLINK("https://klasma.github.io/Logging_OSTERSUND/tillsynsmail/A 27578-2022.docx")</f>
        <v/>
      </c>
    </row>
    <row r="87" ht="15" customHeight="1">
      <c r="A87" t="inlineStr">
        <is>
          <t>A 29827-2022</t>
        </is>
      </c>
      <c r="B87" s="1" t="n">
        <v>44755</v>
      </c>
      <c r="C87" s="1" t="n">
        <v>45172</v>
      </c>
      <c r="D87" t="inlineStr">
        <is>
          <t>JÄMTLANDS LÄN</t>
        </is>
      </c>
      <c r="E87" t="inlineStr">
        <is>
          <t>ÖSTERSUND</t>
        </is>
      </c>
      <c r="F87" t="inlineStr">
        <is>
          <t>SCA</t>
        </is>
      </c>
      <c r="G87" t="n">
        <v>23.9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Tretåig hackspett</t>
        </is>
      </c>
      <c r="S87">
        <f>HYPERLINK("https://klasma.github.io/Logging_OSTERSUND/artfynd/A 29827-2022.xlsx")</f>
        <v/>
      </c>
      <c r="T87">
        <f>HYPERLINK("https://klasma.github.io/Logging_OSTERSUND/kartor/A 29827-2022.png")</f>
        <v/>
      </c>
      <c r="V87">
        <f>HYPERLINK("https://klasma.github.io/Logging_OSTERSUND/klagomål/A 29827-2022.docx")</f>
        <v/>
      </c>
      <c r="W87">
        <f>HYPERLINK("https://klasma.github.io/Logging_OSTERSUND/klagomålsmail/A 29827-2022.docx")</f>
        <v/>
      </c>
      <c r="X87">
        <f>HYPERLINK("https://klasma.github.io/Logging_OSTERSUND/tillsyn/A 29827-2022.docx")</f>
        <v/>
      </c>
      <c r="Y87">
        <f>HYPERLINK("https://klasma.github.io/Logging_OSTERSUND/tillsynsmail/A 29827-2022.docx")</f>
        <v/>
      </c>
    </row>
    <row r="88" ht="15" customHeight="1">
      <c r="A88" t="inlineStr">
        <is>
          <t>A 33267-2022</t>
        </is>
      </c>
      <c r="B88" s="1" t="n">
        <v>44785</v>
      </c>
      <c r="C88" s="1" t="n">
        <v>45172</v>
      </c>
      <c r="D88" t="inlineStr">
        <is>
          <t>JÄMTLANDS LÄN</t>
        </is>
      </c>
      <c r="E88" t="inlineStr">
        <is>
          <t>ÖSTERSUND</t>
        </is>
      </c>
      <c r="G88" t="n">
        <v>0.9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HYPERLINK("https://klasma.github.io/Logging_OSTERSUND/artfynd/A 33267-2022.xlsx")</f>
        <v/>
      </c>
      <c r="T88">
        <f>HYPERLINK("https://klasma.github.io/Logging_OSTERSUND/kartor/A 33267-2022.png")</f>
        <v/>
      </c>
      <c r="V88">
        <f>HYPERLINK("https://klasma.github.io/Logging_OSTERSUND/klagomål/A 33267-2022.docx")</f>
        <v/>
      </c>
      <c r="W88">
        <f>HYPERLINK("https://klasma.github.io/Logging_OSTERSUND/klagomålsmail/A 33267-2022.docx")</f>
        <v/>
      </c>
      <c r="X88">
        <f>HYPERLINK("https://klasma.github.io/Logging_OSTERSUND/tillsyn/A 33267-2022.docx")</f>
        <v/>
      </c>
      <c r="Y88">
        <f>HYPERLINK("https://klasma.github.io/Logging_OSTERSUND/tillsynsmail/A 33267-2022.docx")</f>
        <v/>
      </c>
    </row>
    <row r="89" ht="15" customHeight="1">
      <c r="A89" t="inlineStr">
        <is>
          <t>A 45441-2022</t>
        </is>
      </c>
      <c r="B89" s="1" t="n">
        <v>44844</v>
      </c>
      <c r="C89" s="1" t="n">
        <v>45172</v>
      </c>
      <c r="D89" t="inlineStr">
        <is>
          <t>JÄMTLANDS LÄN</t>
        </is>
      </c>
      <c r="E89" t="inlineStr">
        <is>
          <t>ÖSTERSUND</t>
        </is>
      </c>
      <c r="F89" t="inlineStr">
        <is>
          <t>SCA</t>
        </is>
      </c>
      <c r="G89" t="n">
        <v>1.8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Korallblylav</t>
        </is>
      </c>
      <c r="S89">
        <f>HYPERLINK("https://klasma.github.io/Logging_OSTERSUND/artfynd/A 45441-2022.xlsx")</f>
        <v/>
      </c>
      <c r="T89">
        <f>HYPERLINK("https://klasma.github.io/Logging_OSTERSUND/kartor/A 45441-2022.png")</f>
        <v/>
      </c>
      <c r="V89">
        <f>HYPERLINK("https://klasma.github.io/Logging_OSTERSUND/klagomål/A 45441-2022.docx")</f>
        <v/>
      </c>
      <c r="W89">
        <f>HYPERLINK("https://klasma.github.io/Logging_OSTERSUND/klagomålsmail/A 45441-2022.docx")</f>
        <v/>
      </c>
      <c r="X89">
        <f>HYPERLINK("https://klasma.github.io/Logging_OSTERSUND/tillsyn/A 45441-2022.docx")</f>
        <v/>
      </c>
      <c r="Y89">
        <f>HYPERLINK("https://klasma.github.io/Logging_OSTERSUND/tillsynsmail/A 45441-2022.docx")</f>
        <v/>
      </c>
    </row>
    <row r="90" ht="15" customHeight="1">
      <c r="A90" t="inlineStr">
        <is>
          <t>A 56245-2022</t>
        </is>
      </c>
      <c r="B90" s="1" t="n">
        <v>44890</v>
      </c>
      <c r="C90" s="1" t="n">
        <v>45172</v>
      </c>
      <c r="D90" t="inlineStr">
        <is>
          <t>JÄMTLANDS LÄN</t>
        </is>
      </c>
      <c r="E90" t="inlineStr">
        <is>
          <t>ÖSTERSUND</t>
        </is>
      </c>
      <c r="F90" t="inlineStr">
        <is>
          <t>Övriga Aktiebolag</t>
        </is>
      </c>
      <c r="G90" t="n">
        <v>10.6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Garnlav</t>
        </is>
      </c>
      <c r="S90">
        <f>HYPERLINK("https://klasma.github.io/Logging_OSTERSUND/artfynd/A 56245-2022.xlsx")</f>
        <v/>
      </c>
      <c r="T90">
        <f>HYPERLINK("https://klasma.github.io/Logging_OSTERSUND/kartor/A 56245-2022.png")</f>
        <v/>
      </c>
      <c r="V90">
        <f>HYPERLINK("https://klasma.github.io/Logging_OSTERSUND/klagomål/A 56245-2022.docx")</f>
        <v/>
      </c>
      <c r="W90">
        <f>HYPERLINK("https://klasma.github.io/Logging_OSTERSUND/klagomålsmail/A 56245-2022.docx")</f>
        <v/>
      </c>
      <c r="X90">
        <f>HYPERLINK("https://klasma.github.io/Logging_OSTERSUND/tillsyn/A 56245-2022.docx")</f>
        <v/>
      </c>
      <c r="Y90">
        <f>HYPERLINK("https://klasma.github.io/Logging_OSTERSUND/tillsynsmail/A 56245-2022.docx")</f>
        <v/>
      </c>
    </row>
    <row r="91" ht="15" customHeight="1">
      <c r="A91" t="inlineStr">
        <is>
          <t>A 58181-2022</t>
        </is>
      </c>
      <c r="B91" s="1" t="n">
        <v>44900</v>
      </c>
      <c r="C91" s="1" t="n">
        <v>45172</v>
      </c>
      <c r="D91" t="inlineStr">
        <is>
          <t>JÄMTLANDS LÄN</t>
        </is>
      </c>
      <c r="E91" t="inlineStr">
        <is>
          <t>ÖSTERSUND</t>
        </is>
      </c>
      <c r="G91" t="n">
        <v>14.8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Finbräken</t>
        </is>
      </c>
      <c r="S91">
        <f>HYPERLINK("https://klasma.github.io/Logging_OSTERSUND/artfynd/A 58181-2022.xlsx")</f>
        <v/>
      </c>
      <c r="T91">
        <f>HYPERLINK("https://klasma.github.io/Logging_OSTERSUND/kartor/A 58181-2022.png")</f>
        <v/>
      </c>
      <c r="V91">
        <f>HYPERLINK("https://klasma.github.io/Logging_OSTERSUND/klagomål/A 58181-2022.docx")</f>
        <v/>
      </c>
      <c r="W91">
        <f>HYPERLINK("https://klasma.github.io/Logging_OSTERSUND/klagomålsmail/A 58181-2022.docx")</f>
        <v/>
      </c>
      <c r="X91">
        <f>HYPERLINK("https://klasma.github.io/Logging_OSTERSUND/tillsyn/A 58181-2022.docx")</f>
        <v/>
      </c>
      <c r="Y91">
        <f>HYPERLINK("https://klasma.github.io/Logging_OSTERSUND/tillsynsmail/A 58181-2022.docx")</f>
        <v/>
      </c>
    </row>
    <row r="92" ht="15" customHeight="1">
      <c r="A92" t="inlineStr">
        <is>
          <t>A 59739-2022</t>
        </is>
      </c>
      <c r="B92" s="1" t="n">
        <v>44908</v>
      </c>
      <c r="C92" s="1" t="n">
        <v>45172</v>
      </c>
      <c r="D92" t="inlineStr">
        <is>
          <t>JÄMTLANDS LÄN</t>
        </is>
      </c>
      <c r="E92" t="inlineStr">
        <is>
          <t>ÖSTERSUND</t>
        </is>
      </c>
      <c r="F92" t="inlineStr">
        <is>
          <t>Kommuner</t>
        </is>
      </c>
      <c r="G92" t="n">
        <v>1.9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Vedticka</t>
        </is>
      </c>
      <c r="S92">
        <f>HYPERLINK("https://klasma.github.io/Logging_OSTERSUND/artfynd/A 59739-2022.xlsx")</f>
        <v/>
      </c>
      <c r="T92">
        <f>HYPERLINK("https://klasma.github.io/Logging_OSTERSUND/kartor/A 59739-2022.png")</f>
        <v/>
      </c>
      <c r="V92">
        <f>HYPERLINK("https://klasma.github.io/Logging_OSTERSUND/klagomål/A 59739-2022.docx")</f>
        <v/>
      </c>
      <c r="W92">
        <f>HYPERLINK("https://klasma.github.io/Logging_OSTERSUND/klagomålsmail/A 59739-2022.docx")</f>
        <v/>
      </c>
      <c r="X92">
        <f>HYPERLINK("https://klasma.github.io/Logging_OSTERSUND/tillsyn/A 59739-2022.docx")</f>
        <v/>
      </c>
      <c r="Y92">
        <f>HYPERLINK("https://klasma.github.io/Logging_OSTERSUND/tillsynsmail/A 59739-2022.docx")</f>
        <v/>
      </c>
    </row>
    <row r="93" ht="15" customHeight="1">
      <c r="A93" t="inlineStr">
        <is>
          <t>A 28980-2023</t>
        </is>
      </c>
      <c r="B93" s="1" t="n">
        <v>45096</v>
      </c>
      <c r="C93" s="1" t="n">
        <v>45172</v>
      </c>
      <c r="D93" t="inlineStr">
        <is>
          <t>JÄMTLANDS LÄN</t>
        </is>
      </c>
      <c r="E93" t="inlineStr">
        <is>
          <t>ÖSTERSUND</t>
        </is>
      </c>
      <c r="G93" t="n">
        <v>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Finbräken</t>
        </is>
      </c>
      <c r="S93">
        <f>HYPERLINK("https://klasma.github.io/Logging_OSTERSUND/artfynd/A 28980-2023.xlsx")</f>
        <v/>
      </c>
      <c r="T93">
        <f>HYPERLINK("https://klasma.github.io/Logging_OSTERSUND/kartor/A 28980-2023.png")</f>
        <v/>
      </c>
      <c r="V93">
        <f>HYPERLINK("https://klasma.github.io/Logging_OSTERSUND/klagomål/A 28980-2023.docx")</f>
        <v/>
      </c>
      <c r="W93">
        <f>HYPERLINK("https://klasma.github.io/Logging_OSTERSUND/klagomålsmail/A 28980-2023.docx")</f>
        <v/>
      </c>
      <c r="X93">
        <f>HYPERLINK("https://klasma.github.io/Logging_OSTERSUND/tillsyn/A 28980-2023.docx")</f>
        <v/>
      </c>
      <c r="Y93">
        <f>HYPERLINK("https://klasma.github.io/Logging_OSTERSUND/tillsynsmail/A 28980-2023.docx")</f>
        <v/>
      </c>
    </row>
    <row r="94" ht="15" customHeight="1">
      <c r="A94" t="inlineStr">
        <is>
          <t>A 33963-2018</t>
        </is>
      </c>
      <c r="B94" s="1" t="n">
        <v>43314</v>
      </c>
      <c r="C94" s="1" t="n">
        <v>45172</v>
      </c>
      <c r="D94" t="inlineStr">
        <is>
          <t>JÄMTLANDS LÄN</t>
        </is>
      </c>
      <c r="E94" t="inlineStr">
        <is>
          <t>ÖSTERSUND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33971-2018</t>
        </is>
      </c>
      <c r="B95" s="1" t="n">
        <v>43314</v>
      </c>
      <c r="C95" s="1" t="n">
        <v>45172</v>
      </c>
      <c r="D95" t="inlineStr">
        <is>
          <t>JÄMTLANDS LÄN</t>
        </is>
      </c>
      <c r="E95" t="inlineStr">
        <is>
          <t>ÖSTERSUND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34942-2018</t>
        </is>
      </c>
      <c r="B96" s="1" t="n">
        <v>43321</v>
      </c>
      <c r="C96" s="1" t="n">
        <v>45172</v>
      </c>
      <c r="D96" t="inlineStr">
        <is>
          <t>JÄMTLANDS LÄN</t>
        </is>
      </c>
      <c r="E96" t="inlineStr">
        <is>
          <t>ÖSTERSUND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34944-2018</t>
        </is>
      </c>
      <c r="B97" s="1" t="n">
        <v>43321</v>
      </c>
      <c r="C97" s="1" t="n">
        <v>45172</v>
      </c>
      <c r="D97" t="inlineStr">
        <is>
          <t>JÄMTLANDS LÄN</t>
        </is>
      </c>
      <c r="E97" t="inlineStr">
        <is>
          <t>ÖSTERSUND</t>
        </is>
      </c>
      <c r="G97" t="n">
        <v>11.7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37265-2018</t>
        </is>
      </c>
      <c r="B98" s="1" t="n">
        <v>43332</v>
      </c>
      <c r="C98" s="1" t="n">
        <v>45172</v>
      </c>
      <c r="D98" t="inlineStr">
        <is>
          <t>JÄMTLANDS LÄN</t>
        </is>
      </c>
      <c r="E98" t="inlineStr">
        <is>
          <t>ÖSTERSUND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37199-2018</t>
        </is>
      </c>
      <c r="B99" s="1" t="n">
        <v>43333</v>
      </c>
      <c r="C99" s="1" t="n">
        <v>45172</v>
      </c>
      <c r="D99" t="inlineStr">
        <is>
          <t>JÄMTLANDS LÄN</t>
        </is>
      </c>
      <c r="E99" t="inlineStr">
        <is>
          <t>ÖSTERSUND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38170-2018</t>
        </is>
      </c>
      <c r="B100" s="1" t="n">
        <v>43336</v>
      </c>
      <c r="C100" s="1" t="n">
        <v>45172</v>
      </c>
      <c r="D100" t="inlineStr">
        <is>
          <t>JÄMTLANDS LÄN</t>
        </is>
      </c>
      <c r="E100" t="inlineStr">
        <is>
          <t>ÖSTERSUND</t>
        </is>
      </c>
      <c r="F100" t="inlineStr">
        <is>
          <t>SCA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46335-2018</t>
        </is>
      </c>
      <c r="B101" s="1" t="n">
        <v>43364</v>
      </c>
      <c r="C101" s="1" t="n">
        <v>45172</v>
      </c>
      <c r="D101" t="inlineStr">
        <is>
          <t>JÄMTLANDS LÄN</t>
        </is>
      </c>
      <c r="E101" t="inlineStr">
        <is>
          <t>ÖSTERSUND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45747-2018</t>
        </is>
      </c>
      <c r="B102" s="1" t="n">
        <v>43364</v>
      </c>
      <c r="C102" s="1" t="n">
        <v>45172</v>
      </c>
      <c r="D102" t="inlineStr">
        <is>
          <t>JÄMTLANDS LÄN</t>
        </is>
      </c>
      <c r="E102" t="inlineStr">
        <is>
          <t>ÖSTERSUND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49046-2018</t>
        </is>
      </c>
      <c r="B103" s="1" t="n">
        <v>43371</v>
      </c>
      <c r="C103" s="1" t="n">
        <v>45172</v>
      </c>
      <c r="D103" t="inlineStr">
        <is>
          <t>JÄMTLANDS LÄN</t>
        </is>
      </c>
      <c r="E103" t="inlineStr">
        <is>
          <t>ÖSTERSUND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49055-2018</t>
        </is>
      </c>
      <c r="B104" s="1" t="n">
        <v>43371</v>
      </c>
      <c r="C104" s="1" t="n">
        <v>45172</v>
      </c>
      <c r="D104" t="inlineStr">
        <is>
          <t>JÄMTLANDS LÄN</t>
        </is>
      </c>
      <c r="E104" t="inlineStr">
        <is>
          <t>ÖSTERSUND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49043-2018</t>
        </is>
      </c>
      <c r="B105" s="1" t="n">
        <v>43371</v>
      </c>
      <c r="C105" s="1" t="n">
        <v>45172</v>
      </c>
      <c r="D105" t="inlineStr">
        <is>
          <t>JÄMTLANDS LÄN</t>
        </is>
      </c>
      <c r="E105" t="inlineStr">
        <is>
          <t>ÖSTERSUND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49061-2018</t>
        </is>
      </c>
      <c r="B106" s="1" t="n">
        <v>43371</v>
      </c>
      <c r="C106" s="1" t="n">
        <v>45172</v>
      </c>
      <c r="D106" t="inlineStr">
        <is>
          <t>JÄMTLANDS LÄN</t>
        </is>
      </c>
      <c r="E106" t="inlineStr">
        <is>
          <t>ÖSTERSUND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51794-2018</t>
        </is>
      </c>
      <c r="B107" s="1" t="n">
        <v>43381</v>
      </c>
      <c r="C107" s="1" t="n">
        <v>45172</v>
      </c>
      <c r="D107" t="inlineStr">
        <is>
          <t>JÄMTLANDS LÄN</t>
        </is>
      </c>
      <c r="E107" t="inlineStr">
        <is>
          <t>ÖSTERSUND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54584-2018</t>
        </is>
      </c>
      <c r="B108" s="1" t="n">
        <v>43395</v>
      </c>
      <c r="C108" s="1" t="n">
        <v>45172</v>
      </c>
      <c r="D108" t="inlineStr">
        <is>
          <t>JÄMTLANDS LÄN</t>
        </is>
      </c>
      <c r="E108" t="inlineStr">
        <is>
          <t>ÖSTERSUND</t>
        </is>
      </c>
      <c r="F108" t="inlineStr">
        <is>
          <t>Övriga Aktiebolag</t>
        </is>
      </c>
      <c r="G108" t="n">
        <v>22.8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55969-2018</t>
        </is>
      </c>
      <c r="B109" s="1" t="n">
        <v>43398</v>
      </c>
      <c r="C109" s="1" t="n">
        <v>45172</v>
      </c>
      <c r="D109" t="inlineStr">
        <is>
          <t>JÄMTLANDS LÄN</t>
        </is>
      </c>
      <c r="E109" t="inlineStr">
        <is>
          <t>ÖSTERSUND</t>
        </is>
      </c>
      <c r="F109" t="inlineStr">
        <is>
          <t>Övriga Aktiebolag</t>
        </is>
      </c>
      <c r="G109" t="n">
        <v>29.2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58104-2018</t>
        </is>
      </c>
      <c r="B110" s="1" t="n">
        <v>43398</v>
      </c>
      <c r="C110" s="1" t="n">
        <v>45172</v>
      </c>
      <c r="D110" t="inlineStr">
        <is>
          <t>JÄMTLANDS LÄN</t>
        </is>
      </c>
      <c r="E110" t="inlineStr">
        <is>
          <t>ÖSTERSUND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58616-2018</t>
        </is>
      </c>
      <c r="B111" s="1" t="n">
        <v>43399</v>
      </c>
      <c r="C111" s="1" t="n">
        <v>45172</v>
      </c>
      <c r="D111" t="inlineStr">
        <is>
          <t>JÄMTLANDS LÄN</t>
        </is>
      </c>
      <c r="E111" t="inlineStr">
        <is>
          <t>ÖSTERSUND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59019-2018</t>
        </is>
      </c>
      <c r="B112" s="1" t="n">
        <v>43402</v>
      </c>
      <c r="C112" s="1" t="n">
        <v>45172</v>
      </c>
      <c r="D112" t="inlineStr">
        <is>
          <t>JÄMTLANDS LÄN</t>
        </is>
      </c>
      <c r="E112" t="inlineStr">
        <is>
          <t>ÖSTERSUND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59324-2018</t>
        </is>
      </c>
      <c r="B113" s="1" t="n">
        <v>43411</v>
      </c>
      <c r="C113" s="1" t="n">
        <v>45172</v>
      </c>
      <c r="D113" t="inlineStr">
        <is>
          <t>JÄMTLANDS LÄN</t>
        </is>
      </c>
      <c r="E113" t="inlineStr">
        <is>
          <t>ÖSTERSUND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61055-2018</t>
        </is>
      </c>
      <c r="B114" s="1" t="n">
        <v>43412</v>
      </c>
      <c r="C114" s="1" t="n">
        <v>45172</v>
      </c>
      <c r="D114" t="inlineStr">
        <is>
          <t>JÄMTLANDS LÄN</t>
        </is>
      </c>
      <c r="E114" t="inlineStr">
        <is>
          <t>ÖSTERSUND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64473-2018</t>
        </is>
      </c>
      <c r="B115" s="1" t="n">
        <v>43419</v>
      </c>
      <c r="C115" s="1" t="n">
        <v>45172</v>
      </c>
      <c r="D115" t="inlineStr">
        <is>
          <t>JÄMTLANDS LÄN</t>
        </is>
      </c>
      <c r="E115" t="inlineStr">
        <is>
          <t>ÖSTERSUND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65165-2018</t>
        </is>
      </c>
      <c r="B116" s="1" t="n">
        <v>43423</v>
      </c>
      <c r="C116" s="1" t="n">
        <v>45172</v>
      </c>
      <c r="D116" t="inlineStr">
        <is>
          <t>JÄMTLANDS LÄN</t>
        </is>
      </c>
      <c r="E116" t="inlineStr">
        <is>
          <t>ÖSTERSUND</t>
        </is>
      </c>
      <c r="G116" t="n">
        <v>19.9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61822-2018</t>
        </is>
      </c>
      <c r="B117" s="1" t="n">
        <v>43425</v>
      </c>
      <c r="C117" s="1" t="n">
        <v>45172</v>
      </c>
      <c r="D117" t="inlineStr">
        <is>
          <t>JÄMTLANDS LÄN</t>
        </is>
      </c>
      <c r="E117" t="inlineStr">
        <is>
          <t>ÖSTERSUND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62924-2018</t>
        </is>
      </c>
      <c r="B118" s="1" t="n">
        <v>43426</v>
      </c>
      <c r="C118" s="1" t="n">
        <v>45172</v>
      </c>
      <c r="D118" t="inlineStr">
        <is>
          <t>JÄMTLANDS LÄN</t>
        </is>
      </c>
      <c r="E118" t="inlineStr">
        <is>
          <t>ÖSTERSUND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68550-2018</t>
        </is>
      </c>
      <c r="B119" s="1" t="n">
        <v>43439</v>
      </c>
      <c r="C119" s="1" t="n">
        <v>45172</v>
      </c>
      <c r="D119" t="inlineStr">
        <is>
          <t>JÄMTLANDS LÄN</t>
        </is>
      </c>
      <c r="E119" t="inlineStr">
        <is>
          <t>ÖSTERSUND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69129-2018</t>
        </is>
      </c>
      <c r="B120" s="1" t="n">
        <v>43440</v>
      </c>
      <c r="C120" s="1" t="n">
        <v>45172</v>
      </c>
      <c r="D120" t="inlineStr">
        <is>
          <t>JÄMTLANDS LÄN</t>
        </is>
      </c>
      <c r="E120" t="inlineStr">
        <is>
          <t>ÖSTERSUND</t>
        </is>
      </c>
      <c r="G120" t="n">
        <v>15.1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70018-2018</t>
        </is>
      </c>
      <c r="B121" s="1" t="n">
        <v>43448</v>
      </c>
      <c r="C121" s="1" t="n">
        <v>45172</v>
      </c>
      <c r="D121" t="inlineStr">
        <is>
          <t>JÄMTLANDS LÄN</t>
        </is>
      </c>
      <c r="E121" t="inlineStr">
        <is>
          <t>ÖSTERSUND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70783-2018</t>
        </is>
      </c>
      <c r="B122" s="1" t="n">
        <v>43451</v>
      </c>
      <c r="C122" s="1" t="n">
        <v>45172</v>
      </c>
      <c r="D122" t="inlineStr">
        <is>
          <t>JÄMTLANDS LÄN</t>
        </is>
      </c>
      <c r="E122" t="inlineStr">
        <is>
          <t>ÖSTERSUND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70784-2018</t>
        </is>
      </c>
      <c r="B123" s="1" t="n">
        <v>43451</v>
      </c>
      <c r="C123" s="1" t="n">
        <v>45172</v>
      </c>
      <c r="D123" t="inlineStr">
        <is>
          <t>JÄMTLANDS LÄN</t>
        </is>
      </c>
      <c r="E123" t="inlineStr">
        <is>
          <t>ÖSTERSUND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71042-2018</t>
        </is>
      </c>
      <c r="B124" s="1" t="n">
        <v>43452</v>
      </c>
      <c r="C124" s="1" t="n">
        <v>45172</v>
      </c>
      <c r="D124" t="inlineStr">
        <is>
          <t>JÄMTLANDS LÄN</t>
        </is>
      </c>
      <c r="E124" t="inlineStr">
        <is>
          <t>ÖSTERSUND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71747-2018</t>
        </is>
      </c>
      <c r="B125" s="1" t="n">
        <v>43454</v>
      </c>
      <c r="C125" s="1" t="n">
        <v>45172</v>
      </c>
      <c r="D125" t="inlineStr">
        <is>
          <t>JÄMTLANDS LÄN</t>
        </is>
      </c>
      <c r="E125" t="inlineStr">
        <is>
          <t>ÖSTERSUND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71773-2018</t>
        </is>
      </c>
      <c r="B126" s="1" t="n">
        <v>43454</v>
      </c>
      <c r="C126" s="1" t="n">
        <v>45172</v>
      </c>
      <c r="D126" t="inlineStr">
        <is>
          <t>JÄMTLANDS LÄN</t>
        </is>
      </c>
      <c r="E126" t="inlineStr">
        <is>
          <t>ÖSTERSUND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573-2019</t>
        </is>
      </c>
      <c r="B127" s="1" t="n">
        <v>43455</v>
      </c>
      <c r="C127" s="1" t="n">
        <v>45172</v>
      </c>
      <c r="D127" t="inlineStr">
        <is>
          <t>JÄMTLANDS LÄN</t>
        </is>
      </c>
      <c r="E127" t="inlineStr">
        <is>
          <t>ÖSTERSUND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1032-2019</t>
        </is>
      </c>
      <c r="B128" s="1" t="n">
        <v>43472</v>
      </c>
      <c r="C128" s="1" t="n">
        <v>45172</v>
      </c>
      <c r="D128" t="inlineStr">
        <is>
          <t>JÄMTLANDS LÄN</t>
        </is>
      </c>
      <c r="E128" t="inlineStr">
        <is>
          <t>ÖSTERSUND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2951-2019</t>
        </is>
      </c>
      <c r="B129" s="1" t="n">
        <v>43472</v>
      </c>
      <c r="C129" s="1" t="n">
        <v>45172</v>
      </c>
      <c r="D129" t="inlineStr">
        <is>
          <t>JÄMTLANDS LÄN</t>
        </is>
      </c>
      <c r="E129" t="inlineStr">
        <is>
          <t>ÖSTERSUND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2307-2019</t>
        </is>
      </c>
      <c r="B130" s="1" t="n">
        <v>43475</v>
      </c>
      <c r="C130" s="1" t="n">
        <v>45172</v>
      </c>
      <c r="D130" t="inlineStr">
        <is>
          <t>JÄMTLANDS LÄN</t>
        </is>
      </c>
      <c r="E130" t="inlineStr">
        <is>
          <t>ÖSTERSUND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4247-2019</t>
        </is>
      </c>
      <c r="B131" s="1" t="n">
        <v>43476</v>
      </c>
      <c r="C131" s="1" t="n">
        <v>45172</v>
      </c>
      <c r="D131" t="inlineStr">
        <is>
          <t>JÄMTLANDS LÄN</t>
        </is>
      </c>
      <c r="E131" t="inlineStr">
        <is>
          <t>ÖSTERSUND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2668-2019</t>
        </is>
      </c>
      <c r="B132" s="1" t="n">
        <v>43478</v>
      </c>
      <c r="C132" s="1" t="n">
        <v>45172</v>
      </c>
      <c r="D132" t="inlineStr">
        <is>
          <t>JÄMTLANDS LÄN</t>
        </is>
      </c>
      <c r="E132" t="inlineStr">
        <is>
          <t>ÖSTERSUND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5024-2019</t>
        </is>
      </c>
      <c r="B133" s="1" t="n">
        <v>43487</v>
      </c>
      <c r="C133" s="1" t="n">
        <v>45172</v>
      </c>
      <c r="D133" t="inlineStr">
        <is>
          <t>JÄMTLANDS LÄN</t>
        </is>
      </c>
      <c r="E133" t="inlineStr">
        <is>
          <t>ÖSTERSUND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5629-2019</t>
        </is>
      </c>
      <c r="B134" s="1" t="n">
        <v>43489</v>
      </c>
      <c r="C134" s="1" t="n">
        <v>45172</v>
      </c>
      <c r="D134" t="inlineStr">
        <is>
          <t>JÄMTLANDS LÄN</t>
        </is>
      </c>
      <c r="E134" t="inlineStr">
        <is>
          <t>ÖSTERSUND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5619-2019</t>
        </is>
      </c>
      <c r="B135" s="1" t="n">
        <v>43489</v>
      </c>
      <c r="C135" s="1" t="n">
        <v>45172</v>
      </c>
      <c r="D135" t="inlineStr">
        <is>
          <t>JÄMTLANDS LÄN</t>
        </is>
      </c>
      <c r="E135" t="inlineStr">
        <is>
          <t>ÖSTERSUND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6774-2019</t>
        </is>
      </c>
      <c r="B136" s="1" t="n">
        <v>43494</v>
      </c>
      <c r="C136" s="1" t="n">
        <v>45172</v>
      </c>
      <c r="D136" t="inlineStr">
        <is>
          <t>JÄMTLANDS LÄN</t>
        </is>
      </c>
      <c r="E136" t="inlineStr">
        <is>
          <t>ÖSTERSUND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6549-2019</t>
        </is>
      </c>
      <c r="B137" s="1" t="n">
        <v>43494</v>
      </c>
      <c r="C137" s="1" t="n">
        <v>45172</v>
      </c>
      <c r="D137" t="inlineStr">
        <is>
          <t>JÄMTLANDS LÄN</t>
        </is>
      </c>
      <c r="E137" t="inlineStr">
        <is>
          <t>ÖSTERSUND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6775-2019</t>
        </is>
      </c>
      <c r="B138" s="1" t="n">
        <v>43494</v>
      </c>
      <c r="C138" s="1" t="n">
        <v>45172</v>
      </c>
      <c r="D138" t="inlineStr">
        <is>
          <t>JÄMTLANDS LÄN</t>
        </is>
      </c>
      <c r="E138" t="inlineStr">
        <is>
          <t>ÖSTERSUND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6834-2019</t>
        </is>
      </c>
      <c r="B139" s="1" t="n">
        <v>43495</v>
      </c>
      <c r="C139" s="1" t="n">
        <v>45172</v>
      </c>
      <c r="D139" t="inlineStr">
        <is>
          <t>JÄMTLANDS LÄN</t>
        </is>
      </c>
      <c r="E139" t="inlineStr">
        <is>
          <t>ÖSTERSUND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7128-2019</t>
        </is>
      </c>
      <c r="B140" s="1" t="n">
        <v>43495</v>
      </c>
      <c r="C140" s="1" t="n">
        <v>45172</v>
      </c>
      <c r="D140" t="inlineStr">
        <is>
          <t>JÄMTLANDS LÄN</t>
        </is>
      </c>
      <c r="E140" t="inlineStr">
        <is>
          <t>ÖSTERSUND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8920-2019</t>
        </is>
      </c>
      <c r="B141" s="1" t="n">
        <v>43503</v>
      </c>
      <c r="C141" s="1" t="n">
        <v>45172</v>
      </c>
      <c r="D141" t="inlineStr">
        <is>
          <t>JÄMTLANDS LÄN</t>
        </is>
      </c>
      <c r="E141" t="inlineStr">
        <is>
          <t>ÖSTERSUND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10527-2019</t>
        </is>
      </c>
      <c r="B142" s="1" t="n">
        <v>43514</v>
      </c>
      <c r="C142" s="1" t="n">
        <v>45172</v>
      </c>
      <c r="D142" t="inlineStr">
        <is>
          <t>JÄMTLANDS LÄN</t>
        </is>
      </c>
      <c r="E142" t="inlineStr">
        <is>
          <t>ÖSTERSUND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13622-2019</t>
        </is>
      </c>
      <c r="B143" s="1" t="n">
        <v>43530</v>
      </c>
      <c r="C143" s="1" t="n">
        <v>45172</v>
      </c>
      <c r="D143" t="inlineStr">
        <is>
          <t>JÄMTLANDS LÄN</t>
        </is>
      </c>
      <c r="E143" t="inlineStr">
        <is>
          <t>ÖSTERSUND</t>
        </is>
      </c>
      <c r="G143" t="n">
        <v>7.8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15945-2019</t>
        </is>
      </c>
      <c r="B144" s="1" t="n">
        <v>43542</v>
      </c>
      <c r="C144" s="1" t="n">
        <v>45172</v>
      </c>
      <c r="D144" t="inlineStr">
        <is>
          <t>JÄMTLANDS LÄN</t>
        </is>
      </c>
      <c r="E144" t="inlineStr">
        <is>
          <t>ÖSTERSUND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17256-2019</t>
        </is>
      </c>
      <c r="B145" s="1" t="n">
        <v>43550</v>
      </c>
      <c r="C145" s="1" t="n">
        <v>45172</v>
      </c>
      <c r="D145" t="inlineStr">
        <is>
          <t>JÄMTLANDS LÄN</t>
        </is>
      </c>
      <c r="E145" t="inlineStr">
        <is>
          <t>ÖSTERSUND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20319-2019</t>
        </is>
      </c>
      <c r="B146" s="1" t="n">
        <v>43571</v>
      </c>
      <c r="C146" s="1" t="n">
        <v>45172</v>
      </c>
      <c r="D146" t="inlineStr">
        <is>
          <t>JÄMTLANDS LÄN</t>
        </is>
      </c>
      <c r="E146" t="inlineStr">
        <is>
          <t>ÖSTERSUND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21727-2019</t>
        </is>
      </c>
      <c r="B147" s="1" t="n">
        <v>43581</v>
      </c>
      <c r="C147" s="1" t="n">
        <v>45172</v>
      </c>
      <c r="D147" t="inlineStr">
        <is>
          <t>JÄMTLANDS LÄN</t>
        </is>
      </c>
      <c r="E147" t="inlineStr">
        <is>
          <t>ÖSTERSUND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21793-2019</t>
        </is>
      </c>
      <c r="B148" s="1" t="n">
        <v>43581</v>
      </c>
      <c r="C148" s="1" t="n">
        <v>45172</v>
      </c>
      <c r="D148" t="inlineStr">
        <is>
          <t>JÄMTLANDS LÄN</t>
        </is>
      </c>
      <c r="E148" t="inlineStr">
        <is>
          <t>ÖSTERSUND</t>
        </is>
      </c>
      <c r="F148" t="inlineStr">
        <is>
          <t>SCA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22119-2019</t>
        </is>
      </c>
      <c r="B149" s="1" t="n">
        <v>43584</v>
      </c>
      <c r="C149" s="1" t="n">
        <v>45172</v>
      </c>
      <c r="D149" t="inlineStr">
        <is>
          <t>JÄMTLANDS LÄN</t>
        </is>
      </c>
      <c r="E149" t="inlineStr">
        <is>
          <t>ÖSTERSUND</t>
        </is>
      </c>
      <c r="G149" t="n">
        <v>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22115-2019</t>
        </is>
      </c>
      <c r="B150" s="1" t="n">
        <v>43584</v>
      </c>
      <c r="C150" s="1" t="n">
        <v>45172</v>
      </c>
      <c r="D150" t="inlineStr">
        <is>
          <t>JÄMTLANDS LÄN</t>
        </is>
      </c>
      <c r="E150" t="inlineStr">
        <is>
          <t>ÖSTERSUND</t>
        </is>
      </c>
      <c r="G150" t="n">
        <v>15.1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23609-2019</t>
        </is>
      </c>
      <c r="B151" s="1" t="n">
        <v>43594</v>
      </c>
      <c r="C151" s="1" t="n">
        <v>45172</v>
      </c>
      <c r="D151" t="inlineStr">
        <is>
          <t>JÄMTLANDS LÄN</t>
        </is>
      </c>
      <c r="E151" t="inlineStr">
        <is>
          <t>ÖSTERSUND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23940-2019</t>
        </is>
      </c>
      <c r="B152" s="1" t="n">
        <v>43595</v>
      </c>
      <c r="C152" s="1" t="n">
        <v>45172</v>
      </c>
      <c r="D152" t="inlineStr">
        <is>
          <t>JÄMTLANDS LÄN</t>
        </is>
      </c>
      <c r="E152" t="inlineStr">
        <is>
          <t>ÖSTERSUND</t>
        </is>
      </c>
      <c r="F152" t="inlineStr">
        <is>
          <t>SCA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25205-2019</t>
        </is>
      </c>
      <c r="B153" s="1" t="n">
        <v>43600</v>
      </c>
      <c r="C153" s="1" t="n">
        <v>45172</v>
      </c>
      <c r="D153" t="inlineStr">
        <is>
          <t>JÄMTLANDS LÄN</t>
        </is>
      </c>
      <c r="E153" t="inlineStr">
        <is>
          <t>ÖSTERSUND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28884-2019</t>
        </is>
      </c>
      <c r="B154" s="1" t="n">
        <v>43619</v>
      </c>
      <c r="C154" s="1" t="n">
        <v>45172</v>
      </c>
      <c r="D154" t="inlineStr">
        <is>
          <t>JÄMTLANDS LÄN</t>
        </is>
      </c>
      <c r="E154" t="inlineStr">
        <is>
          <t>ÖSTERSUND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28892-2019</t>
        </is>
      </c>
      <c r="B155" s="1" t="n">
        <v>43619</v>
      </c>
      <c r="C155" s="1" t="n">
        <v>45172</v>
      </c>
      <c r="D155" t="inlineStr">
        <is>
          <t>JÄMTLANDS LÄN</t>
        </is>
      </c>
      <c r="E155" t="inlineStr">
        <is>
          <t>ÖSTERSUND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28899-2019</t>
        </is>
      </c>
      <c r="B156" s="1" t="n">
        <v>43619</v>
      </c>
      <c r="C156" s="1" t="n">
        <v>45172</v>
      </c>
      <c r="D156" t="inlineStr">
        <is>
          <t>JÄMTLANDS LÄN</t>
        </is>
      </c>
      <c r="E156" t="inlineStr">
        <is>
          <t>ÖSTERSUND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27977-2019</t>
        </is>
      </c>
      <c r="B157" s="1" t="n">
        <v>43620</v>
      </c>
      <c r="C157" s="1" t="n">
        <v>45172</v>
      </c>
      <c r="D157" t="inlineStr">
        <is>
          <t>JÄMTLANDS LÄN</t>
        </is>
      </c>
      <c r="E157" t="inlineStr">
        <is>
          <t>ÖSTERSUND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29058-2019</t>
        </is>
      </c>
      <c r="B158" s="1" t="n">
        <v>43621</v>
      </c>
      <c r="C158" s="1" t="n">
        <v>45172</v>
      </c>
      <c r="D158" t="inlineStr">
        <is>
          <t>JÄMTLANDS LÄN</t>
        </is>
      </c>
      <c r="E158" t="inlineStr">
        <is>
          <t>ÖSTERSUND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31189-2019</t>
        </is>
      </c>
      <c r="B159" s="1" t="n">
        <v>43635</v>
      </c>
      <c r="C159" s="1" t="n">
        <v>45172</v>
      </c>
      <c r="D159" t="inlineStr">
        <is>
          <t>JÄMTLANDS LÄN</t>
        </is>
      </c>
      <c r="E159" t="inlineStr">
        <is>
          <t>ÖSTERSUND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30946-2019</t>
        </is>
      </c>
      <c r="B160" s="1" t="n">
        <v>43636</v>
      </c>
      <c r="C160" s="1" t="n">
        <v>45172</v>
      </c>
      <c r="D160" t="inlineStr">
        <is>
          <t>JÄMTLANDS LÄN</t>
        </is>
      </c>
      <c r="E160" t="inlineStr">
        <is>
          <t>ÖSTERSUND</t>
        </is>
      </c>
      <c r="F160" t="inlineStr">
        <is>
          <t>SCA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31621-2019</t>
        </is>
      </c>
      <c r="B161" s="1" t="n">
        <v>43640</v>
      </c>
      <c r="C161" s="1" t="n">
        <v>45172</v>
      </c>
      <c r="D161" t="inlineStr">
        <is>
          <t>JÄMTLANDS LÄN</t>
        </is>
      </c>
      <c r="E161" t="inlineStr">
        <is>
          <t>ÖSTERSUND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31617-2019</t>
        </is>
      </c>
      <c r="B162" s="1" t="n">
        <v>43640</v>
      </c>
      <c r="C162" s="1" t="n">
        <v>45172</v>
      </c>
      <c r="D162" t="inlineStr">
        <is>
          <t>JÄMTLANDS LÄN</t>
        </is>
      </c>
      <c r="E162" t="inlineStr">
        <is>
          <t>ÖSTERSUND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34903-2019</t>
        </is>
      </c>
      <c r="B163" s="1" t="n">
        <v>43650</v>
      </c>
      <c r="C163" s="1" t="n">
        <v>45172</v>
      </c>
      <c r="D163" t="inlineStr">
        <is>
          <t>JÄMTLANDS LÄN</t>
        </is>
      </c>
      <c r="E163" t="inlineStr">
        <is>
          <t>ÖSTERSUND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35500-2019</t>
        </is>
      </c>
      <c r="B164" s="1" t="n">
        <v>43651</v>
      </c>
      <c r="C164" s="1" t="n">
        <v>45172</v>
      </c>
      <c r="D164" t="inlineStr">
        <is>
          <t>JÄMTLANDS LÄN</t>
        </is>
      </c>
      <c r="E164" t="inlineStr">
        <is>
          <t>ÖSTERSUND</t>
        </is>
      </c>
      <c r="F164" t="inlineStr">
        <is>
          <t>SCA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34109-2019</t>
        </is>
      </c>
      <c r="B165" s="1" t="n">
        <v>43654</v>
      </c>
      <c r="C165" s="1" t="n">
        <v>45172</v>
      </c>
      <c r="D165" t="inlineStr">
        <is>
          <t>JÄMTLANDS LÄN</t>
        </is>
      </c>
      <c r="E165" t="inlineStr">
        <is>
          <t>ÖSTERSUND</t>
        </is>
      </c>
      <c r="F165" t="inlineStr">
        <is>
          <t>SCA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35535-2019</t>
        </is>
      </c>
      <c r="B166" s="1" t="n">
        <v>43654</v>
      </c>
      <c r="C166" s="1" t="n">
        <v>45172</v>
      </c>
      <c r="D166" t="inlineStr">
        <is>
          <t>JÄMTLANDS LÄN</t>
        </is>
      </c>
      <c r="E166" t="inlineStr">
        <is>
          <t>ÖSTERSUND</t>
        </is>
      </c>
      <c r="G166" t="n">
        <v>9.800000000000001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34246-2019</t>
        </is>
      </c>
      <c r="B167" s="1" t="n">
        <v>43655</v>
      </c>
      <c r="C167" s="1" t="n">
        <v>45172</v>
      </c>
      <c r="D167" t="inlineStr">
        <is>
          <t>JÄMTLANDS LÄN</t>
        </is>
      </c>
      <c r="E167" t="inlineStr">
        <is>
          <t>ÖSTERSUND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35678-2019</t>
        </is>
      </c>
      <c r="B168" s="1" t="n">
        <v>43656</v>
      </c>
      <c r="C168" s="1" t="n">
        <v>45172</v>
      </c>
      <c r="D168" t="inlineStr">
        <is>
          <t>JÄMTLANDS LÄN</t>
        </is>
      </c>
      <c r="E168" t="inlineStr">
        <is>
          <t>ÖSTERSUND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35688-2019</t>
        </is>
      </c>
      <c r="B169" s="1" t="n">
        <v>43656</v>
      </c>
      <c r="C169" s="1" t="n">
        <v>45172</v>
      </c>
      <c r="D169" t="inlineStr">
        <is>
          <t>JÄMTLANDS LÄN</t>
        </is>
      </c>
      <c r="E169" t="inlineStr">
        <is>
          <t>ÖSTERSUND</t>
        </is>
      </c>
      <c r="G169" t="n">
        <v>12.6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36003-2019</t>
        </is>
      </c>
      <c r="B170" s="1" t="n">
        <v>43657</v>
      </c>
      <c r="C170" s="1" t="n">
        <v>45172</v>
      </c>
      <c r="D170" t="inlineStr">
        <is>
          <t>JÄMTLANDS LÄN</t>
        </is>
      </c>
      <c r="E170" t="inlineStr">
        <is>
          <t>ÖSTERSUND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36652-2019</t>
        </is>
      </c>
      <c r="B171" s="1" t="n">
        <v>43670</v>
      </c>
      <c r="C171" s="1" t="n">
        <v>45172</v>
      </c>
      <c r="D171" t="inlineStr">
        <is>
          <t>JÄMTLANDS LÄN</t>
        </is>
      </c>
      <c r="E171" t="inlineStr">
        <is>
          <t>ÖSTERSUND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37222-2019</t>
        </is>
      </c>
      <c r="B172" s="1" t="n">
        <v>43676</v>
      </c>
      <c r="C172" s="1" t="n">
        <v>45172</v>
      </c>
      <c r="D172" t="inlineStr">
        <is>
          <t>JÄMTLANDS LÄN</t>
        </is>
      </c>
      <c r="E172" t="inlineStr">
        <is>
          <t>ÖSTERSUND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38662-2019</t>
        </is>
      </c>
      <c r="B173" s="1" t="n">
        <v>43684</v>
      </c>
      <c r="C173" s="1" t="n">
        <v>45172</v>
      </c>
      <c r="D173" t="inlineStr">
        <is>
          <t>JÄMTLANDS LÄN</t>
        </is>
      </c>
      <c r="E173" t="inlineStr">
        <is>
          <t>ÖSTERSUND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39459-2019</t>
        </is>
      </c>
      <c r="B174" s="1" t="n">
        <v>43686</v>
      </c>
      <c r="C174" s="1" t="n">
        <v>45172</v>
      </c>
      <c r="D174" t="inlineStr">
        <is>
          <t>JÄMTLANDS LÄN</t>
        </is>
      </c>
      <c r="E174" t="inlineStr">
        <is>
          <t>ÖSTERSUND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40530-2019</t>
        </is>
      </c>
      <c r="B175" s="1" t="n">
        <v>43696</v>
      </c>
      <c r="C175" s="1" t="n">
        <v>45172</v>
      </c>
      <c r="D175" t="inlineStr">
        <is>
          <t>JÄMTLANDS LÄN</t>
        </is>
      </c>
      <c r="E175" t="inlineStr">
        <is>
          <t>ÖSTERSUND</t>
        </is>
      </c>
      <c r="F175" t="inlineStr">
        <is>
          <t>SCA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40531-2019</t>
        </is>
      </c>
      <c r="B176" s="1" t="n">
        <v>43696</v>
      </c>
      <c r="C176" s="1" t="n">
        <v>45172</v>
      </c>
      <c r="D176" t="inlineStr">
        <is>
          <t>JÄMTLANDS LÄN</t>
        </is>
      </c>
      <c r="E176" t="inlineStr">
        <is>
          <t>ÖSTERSUND</t>
        </is>
      </c>
      <c r="F176" t="inlineStr">
        <is>
          <t>SCA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41364-2019</t>
        </is>
      </c>
      <c r="B177" s="1" t="n">
        <v>43696</v>
      </c>
      <c r="C177" s="1" t="n">
        <v>45172</v>
      </c>
      <c r="D177" t="inlineStr">
        <is>
          <t>JÄMTLANDS LÄN</t>
        </is>
      </c>
      <c r="E177" t="inlineStr">
        <is>
          <t>ÖSTERSUND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41556-2019</t>
        </is>
      </c>
      <c r="B178" s="1" t="n">
        <v>43696</v>
      </c>
      <c r="C178" s="1" t="n">
        <v>45172</v>
      </c>
      <c r="D178" t="inlineStr">
        <is>
          <t>JÄMTLANDS LÄN</t>
        </is>
      </c>
      <c r="E178" t="inlineStr">
        <is>
          <t>ÖSTERSUND</t>
        </is>
      </c>
      <c r="F178" t="inlineStr">
        <is>
          <t>SCA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41588-2019</t>
        </is>
      </c>
      <c r="B179" s="1" t="n">
        <v>43699</v>
      </c>
      <c r="C179" s="1" t="n">
        <v>45172</v>
      </c>
      <c r="D179" t="inlineStr">
        <is>
          <t>JÄMTLANDS LÄN</t>
        </is>
      </c>
      <c r="E179" t="inlineStr">
        <is>
          <t>ÖSTERSUND</t>
        </is>
      </c>
      <c r="G179" t="n">
        <v>26.7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43249-2019</t>
        </is>
      </c>
      <c r="B180" s="1" t="n">
        <v>43703</v>
      </c>
      <c r="C180" s="1" t="n">
        <v>45172</v>
      </c>
      <c r="D180" t="inlineStr">
        <is>
          <t>JÄMTLANDS LÄN</t>
        </is>
      </c>
      <c r="E180" t="inlineStr">
        <is>
          <t>ÖSTERSUND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43425-2019</t>
        </is>
      </c>
      <c r="B181" s="1" t="n">
        <v>43703</v>
      </c>
      <c r="C181" s="1" t="n">
        <v>45172</v>
      </c>
      <c r="D181" t="inlineStr">
        <is>
          <t>JÄMTLANDS LÄN</t>
        </is>
      </c>
      <c r="E181" t="inlineStr">
        <is>
          <t>ÖSTERSUND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46346-2019</t>
        </is>
      </c>
      <c r="B182" s="1" t="n">
        <v>43718</v>
      </c>
      <c r="C182" s="1" t="n">
        <v>45172</v>
      </c>
      <c r="D182" t="inlineStr">
        <is>
          <t>JÄMTLANDS LÄN</t>
        </is>
      </c>
      <c r="E182" t="inlineStr">
        <is>
          <t>ÖSTERSUND</t>
        </is>
      </c>
      <c r="F182" t="inlineStr">
        <is>
          <t>SCA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47810-2019</t>
        </is>
      </c>
      <c r="B183" s="1" t="n">
        <v>43724</v>
      </c>
      <c r="C183" s="1" t="n">
        <v>45172</v>
      </c>
      <c r="D183" t="inlineStr">
        <is>
          <t>JÄMTLANDS LÄN</t>
        </is>
      </c>
      <c r="E183" t="inlineStr">
        <is>
          <t>ÖSTERSUND</t>
        </is>
      </c>
      <c r="F183" t="inlineStr">
        <is>
          <t>SCA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48115-2019</t>
        </is>
      </c>
      <c r="B184" s="1" t="n">
        <v>43725</v>
      </c>
      <c r="C184" s="1" t="n">
        <v>45172</v>
      </c>
      <c r="D184" t="inlineStr">
        <is>
          <t>JÄMTLANDS LÄN</t>
        </is>
      </c>
      <c r="E184" t="inlineStr">
        <is>
          <t>ÖSTERSUND</t>
        </is>
      </c>
      <c r="F184" t="inlineStr">
        <is>
          <t>SCA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48680-2019</t>
        </is>
      </c>
      <c r="B185" s="1" t="n">
        <v>43727</v>
      </c>
      <c r="C185" s="1" t="n">
        <v>45172</v>
      </c>
      <c r="D185" t="inlineStr">
        <is>
          <t>JÄMTLANDS LÄN</t>
        </is>
      </c>
      <c r="E185" t="inlineStr">
        <is>
          <t>ÖSTERSUND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49629-2019</t>
        </is>
      </c>
      <c r="B186" s="1" t="n">
        <v>43732</v>
      </c>
      <c r="C186" s="1" t="n">
        <v>45172</v>
      </c>
      <c r="D186" t="inlineStr">
        <is>
          <t>JÄMTLANDS LÄN</t>
        </is>
      </c>
      <c r="E186" t="inlineStr">
        <is>
          <t>ÖSTERSUND</t>
        </is>
      </c>
      <c r="F186" t="inlineStr">
        <is>
          <t>Övriga Aktiebolag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51347-2019</t>
        </is>
      </c>
      <c r="B187" s="1" t="n">
        <v>43732</v>
      </c>
      <c r="C187" s="1" t="n">
        <v>45172</v>
      </c>
      <c r="D187" t="inlineStr">
        <is>
          <t>JÄMTLANDS LÄN</t>
        </is>
      </c>
      <c r="E187" t="inlineStr">
        <is>
          <t>ÖSTERSUND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49997-2019</t>
        </is>
      </c>
      <c r="B188" s="1" t="n">
        <v>43733</v>
      </c>
      <c r="C188" s="1" t="n">
        <v>45172</v>
      </c>
      <c r="D188" t="inlineStr">
        <is>
          <t>JÄMTLANDS LÄN</t>
        </is>
      </c>
      <c r="E188" t="inlineStr">
        <is>
          <t>ÖSTERSUND</t>
        </is>
      </c>
      <c r="F188" t="inlineStr">
        <is>
          <t>SCA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50316-2019</t>
        </is>
      </c>
      <c r="B189" s="1" t="n">
        <v>43735</v>
      </c>
      <c r="C189" s="1" t="n">
        <v>45172</v>
      </c>
      <c r="D189" t="inlineStr">
        <is>
          <t>JÄMTLANDS LÄN</t>
        </is>
      </c>
      <c r="E189" t="inlineStr">
        <is>
          <t>ÖSTERSUND</t>
        </is>
      </c>
      <c r="G189" t="n">
        <v>9.5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50968-2019</t>
        </is>
      </c>
      <c r="B190" s="1" t="n">
        <v>43738</v>
      </c>
      <c r="C190" s="1" t="n">
        <v>45172</v>
      </c>
      <c r="D190" t="inlineStr">
        <is>
          <t>JÄMTLANDS LÄN</t>
        </is>
      </c>
      <c r="E190" t="inlineStr">
        <is>
          <t>ÖSTERSUND</t>
        </is>
      </c>
      <c r="F190" t="inlineStr">
        <is>
          <t>SCA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50779-2019</t>
        </is>
      </c>
      <c r="B191" s="1" t="n">
        <v>43738</v>
      </c>
      <c r="C191" s="1" t="n">
        <v>45172</v>
      </c>
      <c r="D191" t="inlineStr">
        <is>
          <t>JÄMTLANDS LÄN</t>
        </is>
      </c>
      <c r="E191" t="inlineStr">
        <is>
          <t>ÖSTERSUND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54498-2019</t>
        </is>
      </c>
      <c r="B192" s="1" t="n">
        <v>43747</v>
      </c>
      <c r="C192" s="1" t="n">
        <v>45172</v>
      </c>
      <c r="D192" t="inlineStr">
        <is>
          <t>JÄMTLANDS LÄN</t>
        </is>
      </c>
      <c r="E192" t="inlineStr">
        <is>
          <t>ÖSTERSUND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53297-2019</t>
        </is>
      </c>
      <c r="B193" s="1" t="n">
        <v>43748</v>
      </c>
      <c r="C193" s="1" t="n">
        <v>45172</v>
      </c>
      <c r="D193" t="inlineStr">
        <is>
          <t>JÄMTLANDS LÄN</t>
        </is>
      </c>
      <c r="E193" t="inlineStr">
        <is>
          <t>ÖSTERSUND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53533-2019</t>
        </is>
      </c>
      <c r="B194" s="1" t="n">
        <v>43749</v>
      </c>
      <c r="C194" s="1" t="n">
        <v>45172</v>
      </c>
      <c r="D194" t="inlineStr">
        <is>
          <t>JÄMTLANDS LÄN</t>
        </is>
      </c>
      <c r="E194" t="inlineStr">
        <is>
          <t>ÖSTERSUND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53859-2019</t>
        </is>
      </c>
      <c r="B195" s="1" t="n">
        <v>43752</v>
      </c>
      <c r="C195" s="1" t="n">
        <v>45172</v>
      </c>
      <c r="D195" t="inlineStr">
        <is>
          <t>JÄMTLANDS LÄN</t>
        </is>
      </c>
      <c r="E195" t="inlineStr">
        <is>
          <t>ÖSTERSUND</t>
        </is>
      </c>
      <c r="F195" t="inlineStr">
        <is>
          <t>Övriga Aktiebolag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57466-2019</t>
        </is>
      </c>
      <c r="B196" s="1" t="n">
        <v>43761</v>
      </c>
      <c r="C196" s="1" t="n">
        <v>45172</v>
      </c>
      <c r="D196" t="inlineStr">
        <is>
          <t>JÄMTLANDS LÄN</t>
        </is>
      </c>
      <c r="E196" t="inlineStr">
        <is>
          <t>ÖSTERSUND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56512-2019</t>
        </is>
      </c>
      <c r="B197" s="1" t="n">
        <v>43762</v>
      </c>
      <c r="C197" s="1" t="n">
        <v>45172</v>
      </c>
      <c r="D197" t="inlineStr">
        <is>
          <t>JÄMTLANDS LÄN</t>
        </is>
      </c>
      <c r="E197" t="inlineStr">
        <is>
          <t>ÖSTERSUND</t>
        </is>
      </c>
      <c r="F197" t="inlineStr">
        <is>
          <t>SCA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57845-2019</t>
        </is>
      </c>
      <c r="B198" s="1" t="n">
        <v>43768</v>
      </c>
      <c r="C198" s="1" t="n">
        <v>45172</v>
      </c>
      <c r="D198" t="inlineStr">
        <is>
          <t>JÄMTLANDS LÄN</t>
        </is>
      </c>
      <c r="E198" t="inlineStr">
        <is>
          <t>ÖSTERSUND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58216-2019</t>
        </is>
      </c>
      <c r="B199" s="1" t="n">
        <v>43770</v>
      </c>
      <c r="C199" s="1" t="n">
        <v>45172</v>
      </c>
      <c r="D199" t="inlineStr">
        <is>
          <t>JÄMTLANDS LÄN</t>
        </is>
      </c>
      <c r="E199" t="inlineStr">
        <is>
          <t>ÖSTERSUND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58210-2019</t>
        </is>
      </c>
      <c r="B200" s="1" t="n">
        <v>43770</v>
      </c>
      <c r="C200" s="1" t="n">
        <v>45172</v>
      </c>
      <c r="D200" t="inlineStr">
        <is>
          <t>JÄMTLANDS LÄN</t>
        </is>
      </c>
      <c r="E200" t="inlineStr">
        <is>
          <t>ÖSTERSUND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59437-2019</t>
        </is>
      </c>
      <c r="B201" s="1" t="n">
        <v>43773</v>
      </c>
      <c r="C201" s="1" t="n">
        <v>45172</v>
      </c>
      <c r="D201" t="inlineStr">
        <is>
          <t>JÄMTLANDS LÄN</t>
        </is>
      </c>
      <c r="E201" t="inlineStr">
        <is>
          <t>ÖSTERSUND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60240-2019</t>
        </is>
      </c>
      <c r="B202" s="1" t="n">
        <v>43776</v>
      </c>
      <c r="C202" s="1" t="n">
        <v>45172</v>
      </c>
      <c r="D202" t="inlineStr">
        <is>
          <t>JÄMTLANDS LÄN</t>
        </is>
      </c>
      <c r="E202" t="inlineStr">
        <is>
          <t>ÖSTERSUND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60001-2019</t>
        </is>
      </c>
      <c r="B203" s="1" t="n">
        <v>43777</v>
      </c>
      <c r="C203" s="1" t="n">
        <v>45172</v>
      </c>
      <c r="D203" t="inlineStr">
        <is>
          <t>JÄMTLANDS LÄN</t>
        </is>
      </c>
      <c r="E203" t="inlineStr">
        <is>
          <t>ÖSTERSUND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60604-2019</t>
        </is>
      </c>
      <c r="B204" s="1" t="n">
        <v>43781</v>
      </c>
      <c r="C204" s="1" t="n">
        <v>45172</v>
      </c>
      <c r="D204" t="inlineStr">
        <is>
          <t>JÄMTLANDS LÄN</t>
        </is>
      </c>
      <c r="E204" t="inlineStr">
        <is>
          <t>ÖSTERSUND</t>
        </is>
      </c>
      <c r="G204" t="n">
        <v>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60669-2019</t>
        </is>
      </c>
      <c r="B205" s="1" t="n">
        <v>43781</v>
      </c>
      <c r="C205" s="1" t="n">
        <v>45172</v>
      </c>
      <c r="D205" t="inlineStr">
        <is>
          <t>JÄMTLANDS LÄN</t>
        </is>
      </c>
      <c r="E205" t="inlineStr">
        <is>
          <t>ÖSTERSUND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62234-2019</t>
        </is>
      </c>
      <c r="B206" s="1" t="n">
        <v>43784</v>
      </c>
      <c r="C206" s="1" t="n">
        <v>45172</v>
      </c>
      <c r="D206" t="inlineStr">
        <is>
          <t>JÄMTLANDS LÄN</t>
        </is>
      </c>
      <c r="E206" t="inlineStr">
        <is>
          <t>ÖSTERSUND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62136-2019</t>
        </is>
      </c>
      <c r="B207" s="1" t="n">
        <v>43787</v>
      </c>
      <c r="C207" s="1" t="n">
        <v>45172</v>
      </c>
      <c r="D207" t="inlineStr">
        <is>
          <t>JÄMTLANDS LÄN</t>
        </is>
      </c>
      <c r="E207" t="inlineStr">
        <is>
          <t>ÖSTERSUND</t>
        </is>
      </c>
      <c r="F207" t="inlineStr">
        <is>
          <t>Övriga Aktiebolag</t>
        </is>
      </c>
      <c r="G207" t="n">
        <v>35.2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64622-2019</t>
        </is>
      </c>
      <c r="B208" s="1" t="n">
        <v>43794</v>
      </c>
      <c r="C208" s="1" t="n">
        <v>45172</v>
      </c>
      <c r="D208" t="inlineStr">
        <is>
          <t>JÄMTLANDS LÄN</t>
        </is>
      </c>
      <c r="E208" t="inlineStr">
        <is>
          <t>ÖSTERSUND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65335-2019</t>
        </is>
      </c>
      <c r="B209" s="1" t="n">
        <v>43802</v>
      </c>
      <c r="C209" s="1" t="n">
        <v>45172</v>
      </c>
      <c r="D209" t="inlineStr">
        <is>
          <t>JÄMTLANDS LÄN</t>
        </is>
      </c>
      <c r="E209" t="inlineStr">
        <is>
          <t>ÖSTERSUND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67010-2019</t>
        </is>
      </c>
      <c r="B210" s="1" t="n">
        <v>43805</v>
      </c>
      <c r="C210" s="1" t="n">
        <v>45172</v>
      </c>
      <c r="D210" t="inlineStr">
        <is>
          <t>JÄMTLANDS LÄN</t>
        </is>
      </c>
      <c r="E210" t="inlineStr">
        <is>
          <t>ÖSTERSUND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67863-2019</t>
        </is>
      </c>
      <c r="B211" s="1" t="n">
        <v>43809</v>
      </c>
      <c r="C211" s="1" t="n">
        <v>45172</v>
      </c>
      <c r="D211" t="inlineStr">
        <is>
          <t>JÄMTLANDS LÄN</t>
        </is>
      </c>
      <c r="E211" t="inlineStr">
        <is>
          <t>ÖSTERSUND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66592-2019</t>
        </is>
      </c>
      <c r="B212" s="1" t="n">
        <v>43809</v>
      </c>
      <c r="C212" s="1" t="n">
        <v>45172</v>
      </c>
      <c r="D212" t="inlineStr">
        <is>
          <t>JÄMTLANDS LÄN</t>
        </is>
      </c>
      <c r="E212" t="inlineStr">
        <is>
          <t>ÖSTERSUND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68238-2019</t>
        </is>
      </c>
      <c r="B213" s="1" t="n">
        <v>43817</v>
      </c>
      <c r="C213" s="1" t="n">
        <v>45172</v>
      </c>
      <c r="D213" t="inlineStr">
        <is>
          <t>JÄMTLANDS LÄN</t>
        </is>
      </c>
      <c r="E213" t="inlineStr">
        <is>
          <t>ÖSTERSUND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745-2020</t>
        </is>
      </c>
      <c r="B214" s="1" t="n">
        <v>43838</v>
      </c>
      <c r="C214" s="1" t="n">
        <v>45172</v>
      </c>
      <c r="D214" t="inlineStr">
        <is>
          <t>JÄMTLANDS LÄN</t>
        </is>
      </c>
      <c r="E214" t="inlineStr">
        <is>
          <t>ÖSTERSUND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1077-2020</t>
        </is>
      </c>
      <c r="B215" s="1" t="n">
        <v>43840</v>
      </c>
      <c r="C215" s="1" t="n">
        <v>45172</v>
      </c>
      <c r="D215" t="inlineStr">
        <is>
          <t>JÄMTLANDS LÄN</t>
        </is>
      </c>
      <c r="E215" t="inlineStr">
        <is>
          <t>ÖSTERSUND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1088-2020</t>
        </is>
      </c>
      <c r="B216" s="1" t="n">
        <v>43840</v>
      </c>
      <c r="C216" s="1" t="n">
        <v>45172</v>
      </c>
      <c r="D216" t="inlineStr">
        <is>
          <t>JÄMTLANDS LÄN</t>
        </is>
      </c>
      <c r="E216" t="inlineStr">
        <is>
          <t>ÖSTERSUND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1268-2020</t>
        </is>
      </c>
      <c r="B217" s="1" t="n">
        <v>43840</v>
      </c>
      <c r="C217" s="1" t="n">
        <v>45172</v>
      </c>
      <c r="D217" t="inlineStr">
        <is>
          <t>JÄMTLANDS LÄN</t>
        </is>
      </c>
      <c r="E217" t="inlineStr">
        <is>
          <t>ÖSTERSUND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5905-2020</t>
        </is>
      </c>
      <c r="B218" s="1" t="n">
        <v>43861</v>
      </c>
      <c r="C218" s="1" t="n">
        <v>45172</v>
      </c>
      <c r="D218" t="inlineStr">
        <is>
          <t>JÄMTLANDS LÄN</t>
        </is>
      </c>
      <c r="E218" t="inlineStr">
        <is>
          <t>ÖSTERSUND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6028-2020</t>
        </is>
      </c>
      <c r="B219" s="1" t="n">
        <v>43864</v>
      </c>
      <c r="C219" s="1" t="n">
        <v>45172</v>
      </c>
      <c r="D219" t="inlineStr">
        <is>
          <t>JÄMTLANDS LÄN</t>
        </is>
      </c>
      <c r="E219" t="inlineStr">
        <is>
          <t>ÖSTERSUND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6522-2020</t>
        </is>
      </c>
      <c r="B220" s="1" t="n">
        <v>43864</v>
      </c>
      <c r="C220" s="1" t="n">
        <v>45172</v>
      </c>
      <c r="D220" t="inlineStr">
        <is>
          <t>JÄMTLANDS LÄN</t>
        </is>
      </c>
      <c r="E220" t="inlineStr">
        <is>
          <t>ÖSTERSUND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6566-2020</t>
        </is>
      </c>
      <c r="B221" s="1" t="n">
        <v>43865</v>
      </c>
      <c r="C221" s="1" t="n">
        <v>45172</v>
      </c>
      <c r="D221" t="inlineStr">
        <is>
          <t>JÄMTLANDS LÄN</t>
        </is>
      </c>
      <c r="E221" t="inlineStr">
        <is>
          <t>ÖSTERSUND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7570-2020</t>
        </is>
      </c>
      <c r="B222" s="1" t="n">
        <v>43871</v>
      </c>
      <c r="C222" s="1" t="n">
        <v>45172</v>
      </c>
      <c r="D222" t="inlineStr">
        <is>
          <t>JÄMTLANDS LÄN</t>
        </is>
      </c>
      <c r="E222" t="inlineStr">
        <is>
          <t>ÖSTERSUND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7255-2020</t>
        </is>
      </c>
      <c r="B223" s="1" t="n">
        <v>43871</v>
      </c>
      <c r="C223" s="1" t="n">
        <v>45172</v>
      </c>
      <c r="D223" t="inlineStr">
        <is>
          <t>JÄMTLANDS LÄN</t>
        </is>
      </c>
      <c r="E223" t="inlineStr">
        <is>
          <t>ÖSTERSUND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8401-2020</t>
        </is>
      </c>
      <c r="B224" s="1" t="n">
        <v>43875</v>
      </c>
      <c r="C224" s="1" t="n">
        <v>45172</v>
      </c>
      <c r="D224" t="inlineStr">
        <is>
          <t>JÄMTLANDS LÄN</t>
        </is>
      </c>
      <c r="E224" t="inlineStr">
        <is>
          <t>ÖSTERSUND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12202-2020</t>
        </is>
      </c>
      <c r="B225" s="1" t="n">
        <v>43895</v>
      </c>
      <c r="C225" s="1" t="n">
        <v>45172</v>
      </c>
      <c r="D225" t="inlineStr">
        <is>
          <t>JÄMTLANDS LÄN</t>
        </is>
      </c>
      <c r="E225" t="inlineStr">
        <is>
          <t>ÖSTERSUND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13264-2020</t>
        </is>
      </c>
      <c r="B226" s="1" t="n">
        <v>43901</v>
      </c>
      <c r="C226" s="1" t="n">
        <v>45172</v>
      </c>
      <c r="D226" t="inlineStr">
        <is>
          <t>JÄMTLANDS LÄN</t>
        </is>
      </c>
      <c r="E226" t="inlineStr">
        <is>
          <t>ÖSTERSUND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14917-2020</t>
        </is>
      </c>
      <c r="B227" s="1" t="n">
        <v>43906</v>
      </c>
      <c r="C227" s="1" t="n">
        <v>45172</v>
      </c>
      <c r="D227" t="inlineStr">
        <is>
          <t>JÄMTLANDS LÄN</t>
        </is>
      </c>
      <c r="E227" t="inlineStr">
        <is>
          <t>ÖSTERSUND</t>
        </is>
      </c>
      <c r="G227" t="n">
        <v>12.9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15797-2020</t>
        </is>
      </c>
      <c r="B228" s="1" t="n">
        <v>43909</v>
      </c>
      <c r="C228" s="1" t="n">
        <v>45172</v>
      </c>
      <c r="D228" t="inlineStr">
        <is>
          <t>JÄMTLANDS LÄN</t>
        </is>
      </c>
      <c r="E228" t="inlineStr">
        <is>
          <t>ÖSTERSUND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14903-2020</t>
        </is>
      </c>
      <c r="B229" s="1" t="n">
        <v>43910</v>
      </c>
      <c r="C229" s="1" t="n">
        <v>45172</v>
      </c>
      <c r="D229" t="inlineStr">
        <is>
          <t>JÄMTLANDS LÄN</t>
        </is>
      </c>
      <c r="E229" t="inlineStr">
        <is>
          <t>ÖSTERSUND</t>
        </is>
      </c>
      <c r="F229" t="inlineStr">
        <is>
          <t>Kyrkan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17464-2020</t>
        </is>
      </c>
      <c r="B230" s="1" t="n">
        <v>43917</v>
      </c>
      <c r="C230" s="1" t="n">
        <v>45172</v>
      </c>
      <c r="D230" t="inlineStr">
        <is>
          <t>JÄMTLANDS LÄN</t>
        </is>
      </c>
      <c r="E230" t="inlineStr">
        <is>
          <t>ÖSTERSUND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18339-2020</t>
        </is>
      </c>
      <c r="B231" s="1" t="n">
        <v>43928</v>
      </c>
      <c r="C231" s="1" t="n">
        <v>45172</v>
      </c>
      <c r="D231" t="inlineStr">
        <is>
          <t>JÄMTLANDS LÄN</t>
        </is>
      </c>
      <c r="E231" t="inlineStr">
        <is>
          <t>ÖSTERSUND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18683-2020</t>
        </is>
      </c>
      <c r="B232" s="1" t="n">
        <v>43930</v>
      </c>
      <c r="C232" s="1" t="n">
        <v>45172</v>
      </c>
      <c r="D232" t="inlineStr">
        <is>
          <t>JÄMTLANDS LÄN</t>
        </is>
      </c>
      <c r="E232" t="inlineStr">
        <is>
          <t>ÖSTERSUND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19631-2020</t>
        </is>
      </c>
      <c r="B233" s="1" t="n">
        <v>43936</v>
      </c>
      <c r="C233" s="1" t="n">
        <v>45172</v>
      </c>
      <c r="D233" t="inlineStr">
        <is>
          <t>JÄMTLANDS LÄN</t>
        </is>
      </c>
      <c r="E233" t="inlineStr">
        <is>
          <t>ÖSTERSUND</t>
        </is>
      </c>
      <c r="G233" t="n">
        <v>5.5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19923-2020</t>
        </is>
      </c>
      <c r="B234" s="1" t="n">
        <v>43943</v>
      </c>
      <c r="C234" s="1" t="n">
        <v>45172</v>
      </c>
      <c r="D234" t="inlineStr">
        <is>
          <t>JÄMTLANDS LÄN</t>
        </is>
      </c>
      <c r="E234" t="inlineStr">
        <is>
          <t>ÖSTERSUND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20198-2020</t>
        </is>
      </c>
      <c r="B235" s="1" t="n">
        <v>43944</v>
      </c>
      <c r="C235" s="1" t="n">
        <v>45172</v>
      </c>
      <c r="D235" t="inlineStr">
        <is>
          <t>JÄMTLANDS LÄN</t>
        </is>
      </c>
      <c r="E235" t="inlineStr">
        <is>
          <t>ÖSTERSUND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23445-2020</t>
        </is>
      </c>
      <c r="B236" s="1" t="n">
        <v>43969</v>
      </c>
      <c r="C236" s="1" t="n">
        <v>45172</v>
      </c>
      <c r="D236" t="inlineStr">
        <is>
          <t>JÄMTLANDS LÄN</t>
        </is>
      </c>
      <c r="E236" t="inlineStr">
        <is>
          <t>ÖSTERSUND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23507-2020</t>
        </is>
      </c>
      <c r="B237" s="1" t="n">
        <v>43969</v>
      </c>
      <c r="C237" s="1" t="n">
        <v>45172</v>
      </c>
      <c r="D237" t="inlineStr">
        <is>
          <t>JÄMTLANDS LÄN</t>
        </is>
      </c>
      <c r="E237" t="inlineStr">
        <is>
          <t>ÖSTERSUND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24259-2020</t>
        </is>
      </c>
      <c r="B238" s="1" t="n">
        <v>43970</v>
      </c>
      <c r="C238" s="1" t="n">
        <v>45172</v>
      </c>
      <c r="D238" t="inlineStr">
        <is>
          <t>JÄMTLANDS LÄN</t>
        </is>
      </c>
      <c r="E238" t="inlineStr">
        <is>
          <t>ÖSTERSUND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24253-2020</t>
        </is>
      </c>
      <c r="B239" s="1" t="n">
        <v>43970</v>
      </c>
      <c r="C239" s="1" t="n">
        <v>45172</v>
      </c>
      <c r="D239" t="inlineStr">
        <is>
          <t>JÄMTLANDS LÄN</t>
        </is>
      </c>
      <c r="E239" t="inlineStr">
        <is>
          <t>ÖSTERSUND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25148-2020</t>
        </is>
      </c>
      <c r="B240" s="1" t="n">
        <v>43978</v>
      </c>
      <c r="C240" s="1" t="n">
        <v>45172</v>
      </c>
      <c r="D240" t="inlineStr">
        <is>
          <t>JÄMTLANDS LÄN</t>
        </is>
      </c>
      <c r="E240" t="inlineStr">
        <is>
          <t>ÖSTERSUND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26410-2020</t>
        </is>
      </c>
      <c r="B241" s="1" t="n">
        <v>43986</v>
      </c>
      <c r="C241" s="1" t="n">
        <v>45172</v>
      </c>
      <c r="D241" t="inlineStr">
        <is>
          <t>JÄMTLANDS LÄN</t>
        </is>
      </c>
      <c r="E241" t="inlineStr">
        <is>
          <t>ÖSTERSUND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27576-2020</t>
        </is>
      </c>
      <c r="B242" s="1" t="n">
        <v>43992</v>
      </c>
      <c r="C242" s="1" t="n">
        <v>45172</v>
      </c>
      <c r="D242" t="inlineStr">
        <is>
          <t>JÄMTLANDS LÄN</t>
        </is>
      </c>
      <c r="E242" t="inlineStr">
        <is>
          <t>ÖSTERSUND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29635-2020</t>
        </is>
      </c>
      <c r="B243" s="1" t="n">
        <v>44000</v>
      </c>
      <c r="C243" s="1" t="n">
        <v>45172</v>
      </c>
      <c r="D243" t="inlineStr">
        <is>
          <t>JÄMTLANDS LÄN</t>
        </is>
      </c>
      <c r="E243" t="inlineStr">
        <is>
          <t>ÖSTERSUND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29581-2020</t>
        </is>
      </c>
      <c r="B244" s="1" t="n">
        <v>44004</v>
      </c>
      <c r="C244" s="1" t="n">
        <v>45172</v>
      </c>
      <c r="D244" t="inlineStr">
        <is>
          <t>JÄMTLANDS LÄN</t>
        </is>
      </c>
      <c r="E244" t="inlineStr">
        <is>
          <t>ÖSTERSUND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29435-2020</t>
        </is>
      </c>
      <c r="B245" s="1" t="n">
        <v>44004</v>
      </c>
      <c r="C245" s="1" t="n">
        <v>45172</v>
      </c>
      <c r="D245" t="inlineStr">
        <is>
          <t>JÄMTLANDS LÄN</t>
        </is>
      </c>
      <c r="E245" t="inlineStr">
        <is>
          <t>ÖSTERSUND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30676-2020</t>
        </is>
      </c>
      <c r="B246" s="1" t="n">
        <v>44008</v>
      </c>
      <c r="C246" s="1" t="n">
        <v>45172</v>
      </c>
      <c r="D246" t="inlineStr">
        <is>
          <t>JÄMTLANDS LÄN</t>
        </is>
      </c>
      <c r="E246" t="inlineStr">
        <is>
          <t>ÖSTERSUND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33945-2020</t>
        </is>
      </c>
      <c r="B247" s="1" t="n">
        <v>44027</v>
      </c>
      <c r="C247" s="1" t="n">
        <v>45172</v>
      </c>
      <c r="D247" t="inlineStr">
        <is>
          <t>JÄMTLANDS LÄN</t>
        </is>
      </c>
      <c r="E247" t="inlineStr">
        <is>
          <t>ÖSTERSUND</t>
        </is>
      </c>
      <c r="F247" t="inlineStr">
        <is>
          <t>SCA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34703-2020</t>
        </is>
      </c>
      <c r="B248" s="1" t="n">
        <v>44035</v>
      </c>
      <c r="C248" s="1" t="n">
        <v>45172</v>
      </c>
      <c r="D248" t="inlineStr">
        <is>
          <t>JÄMTLANDS LÄN</t>
        </is>
      </c>
      <c r="E248" t="inlineStr">
        <is>
          <t>ÖSTERSUND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37500-2020</t>
        </is>
      </c>
      <c r="B249" s="1" t="n">
        <v>44055</v>
      </c>
      <c r="C249" s="1" t="n">
        <v>45172</v>
      </c>
      <c r="D249" t="inlineStr">
        <is>
          <t>JÄMTLANDS LÄN</t>
        </is>
      </c>
      <c r="E249" t="inlineStr">
        <is>
          <t>ÖSTERSUND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38099-2020</t>
        </is>
      </c>
      <c r="B250" s="1" t="n">
        <v>44057</v>
      </c>
      <c r="C250" s="1" t="n">
        <v>45172</v>
      </c>
      <c r="D250" t="inlineStr">
        <is>
          <t>JÄMTLANDS LÄN</t>
        </is>
      </c>
      <c r="E250" t="inlineStr">
        <is>
          <t>ÖSTERSUND</t>
        </is>
      </c>
      <c r="F250" t="inlineStr">
        <is>
          <t>SCA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42712-2020</t>
        </is>
      </c>
      <c r="B251" s="1" t="n">
        <v>44076</v>
      </c>
      <c r="C251" s="1" t="n">
        <v>45172</v>
      </c>
      <c r="D251" t="inlineStr">
        <is>
          <t>JÄMTLANDS LÄN</t>
        </is>
      </c>
      <c r="E251" t="inlineStr">
        <is>
          <t>ÖSTERSUND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42765-2020</t>
        </is>
      </c>
      <c r="B252" s="1" t="n">
        <v>44077</v>
      </c>
      <c r="C252" s="1" t="n">
        <v>45172</v>
      </c>
      <c r="D252" t="inlineStr">
        <is>
          <t>JÄMTLANDS LÄN</t>
        </is>
      </c>
      <c r="E252" t="inlineStr">
        <is>
          <t>ÖSTERSUND</t>
        </is>
      </c>
      <c r="F252" t="inlineStr">
        <is>
          <t>SCA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42766-2020</t>
        </is>
      </c>
      <c r="B253" s="1" t="n">
        <v>44077</v>
      </c>
      <c r="C253" s="1" t="n">
        <v>45172</v>
      </c>
      <c r="D253" t="inlineStr">
        <is>
          <t>JÄMTLANDS LÄN</t>
        </is>
      </c>
      <c r="E253" t="inlineStr">
        <is>
          <t>ÖSTERSUND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43796-2020</t>
        </is>
      </c>
      <c r="B254" s="1" t="n">
        <v>44082</v>
      </c>
      <c r="C254" s="1" t="n">
        <v>45172</v>
      </c>
      <c r="D254" t="inlineStr">
        <is>
          <t>JÄMTLANDS LÄN</t>
        </is>
      </c>
      <c r="E254" t="inlineStr">
        <is>
          <t>ÖSTERSUND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45820-2020</t>
        </is>
      </c>
      <c r="B255" s="1" t="n">
        <v>44090</v>
      </c>
      <c r="C255" s="1" t="n">
        <v>45172</v>
      </c>
      <c r="D255" t="inlineStr">
        <is>
          <t>JÄMTLANDS LÄN</t>
        </is>
      </c>
      <c r="E255" t="inlineStr">
        <is>
          <t>ÖSTERSUND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50121-2020</t>
        </is>
      </c>
      <c r="B256" s="1" t="n">
        <v>44106</v>
      </c>
      <c r="C256" s="1" t="n">
        <v>45172</v>
      </c>
      <c r="D256" t="inlineStr">
        <is>
          <t>JÄMTLANDS LÄN</t>
        </is>
      </c>
      <c r="E256" t="inlineStr">
        <is>
          <t>ÖSTERSUND</t>
        </is>
      </c>
      <c r="F256" t="inlineStr">
        <is>
          <t>Övriga statliga verk och myndigheter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50153-2020</t>
        </is>
      </c>
      <c r="B257" s="1" t="n">
        <v>44106</v>
      </c>
      <c r="C257" s="1" t="n">
        <v>45172</v>
      </c>
      <c r="D257" t="inlineStr">
        <is>
          <t>JÄMTLANDS LÄN</t>
        </is>
      </c>
      <c r="E257" t="inlineStr">
        <is>
          <t>ÖSTERSUND</t>
        </is>
      </c>
      <c r="F257" t="inlineStr">
        <is>
          <t>Övriga statliga verk och myndigheter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50144-2020</t>
        </is>
      </c>
      <c r="B258" s="1" t="n">
        <v>44106</v>
      </c>
      <c r="C258" s="1" t="n">
        <v>45172</v>
      </c>
      <c r="D258" t="inlineStr">
        <is>
          <t>JÄMTLANDS LÄN</t>
        </is>
      </c>
      <c r="E258" t="inlineStr">
        <is>
          <t>ÖSTERSUND</t>
        </is>
      </c>
      <c r="F258" t="inlineStr">
        <is>
          <t>Övriga statliga verk och myndigheter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50632-2020</t>
        </is>
      </c>
      <c r="B259" s="1" t="n">
        <v>44110</v>
      </c>
      <c r="C259" s="1" t="n">
        <v>45172</v>
      </c>
      <c r="D259" t="inlineStr">
        <is>
          <t>JÄMTLANDS LÄN</t>
        </is>
      </c>
      <c r="E259" t="inlineStr">
        <is>
          <t>ÖSTERSUND</t>
        </is>
      </c>
      <c r="F259" t="inlineStr">
        <is>
          <t>SCA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52478-2020</t>
        </is>
      </c>
      <c r="B260" s="1" t="n">
        <v>44113</v>
      </c>
      <c r="C260" s="1" t="n">
        <v>45172</v>
      </c>
      <c r="D260" t="inlineStr">
        <is>
          <t>JÄMTLANDS LÄN</t>
        </is>
      </c>
      <c r="E260" t="inlineStr">
        <is>
          <t>ÖSTERSUND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52535-2020</t>
        </is>
      </c>
      <c r="B261" s="1" t="n">
        <v>44118</v>
      </c>
      <c r="C261" s="1" t="n">
        <v>45172</v>
      </c>
      <c r="D261" t="inlineStr">
        <is>
          <t>JÄMTLANDS LÄN</t>
        </is>
      </c>
      <c r="E261" t="inlineStr">
        <is>
          <t>ÖSTERSUND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52777-2020</t>
        </is>
      </c>
      <c r="B262" s="1" t="n">
        <v>44118</v>
      </c>
      <c r="C262" s="1" t="n">
        <v>45172</v>
      </c>
      <c r="D262" t="inlineStr">
        <is>
          <t>JÄMTLANDS LÄN</t>
        </is>
      </c>
      <c r="E262" t="inlineStr">
        <is>
          <t>ÖSTERSUND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52791-2020</t>
        </is>
      </c>
      <c r="B263" s="1" t="n">
        <v>44118</v>
      </c>
      <c r="C263" s="1" t="n">
        <v>45172</v>
      </c>
      <c r="D263" t="inlineStr">
        <is>
          <t>JÄMTLANDS LÄN</t>
        </is>
      </c>
      <c r="E263" t="inlineStr">
        <is>
          <t>ÖSTERSUND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53323-2020</t>
        </is>
      </c>
      <c r="B264" s="1" t="n">
        <v>44123</v>
      </c>
      <c r="C264" s="1" t="n">
        <v>45172</v>
      </c>
      <c r="D264" t="inlineStr">
        <is>
          <t>JÄMTLANDS LÄN</t>
        </is>
      </c>
      <c r="E264" t="inlineStr">
        <is>
          <t>ÖSTERSUND</t>
        </is>
      </c>
      <c r="F264" t="inlineStr">
        <is>
          <t>Övriga Aktiebolag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53967-2020</t>
        </is>
      </c>
      <c r="B265" s="1" t="n">
        <v>44125</v>
      </c>
      <c r="C265" s="1" t="n">
        <v>45172</v>
      </c>
      <c r="D265" t="inlineStr">
        <is>
          <t>JÄMTLANDS LÄN</t>
        </is>
      </c>
      <c r="E265" t="inlineStr">
        <is>
          <t>ÖSTERSUND</t>
        </is>
      </c>
      <c r="G265" t="n">
        <v>25.8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54539-2020</t>
        </is>
      </c>
      <c r="B266" s="1" t="n">
        <v>44126</v>
      </c>
      <c r="C266" s="1" t="n">
        <v>45172</v>
      </c>
      <c r="D266" t="inlineStr">
        <is>
          <t>JÄMTLANDS LÄN</t>
        </is>
      </c>
      <c r="E266" t="inlineStr">
        <is>
          <t>ÖSTERSUND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54844-2020</t>
        </is>
      </c>
      <c r="B267" s="1" t="n">
        <v>44126</v>
      </c>
      <c r="C267" s="1" t="n">
        <v>45172</v>
      </c>
      <c r="D267" t="inlineStr">
        <is>
          <t>JÄMTLANDS LÄN</t>
        </is>
      </c>
      <c r="E267" t="inlineStr">
        <is>
          <t>ÖSTERSUND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56220-2020</t>
        </is>
      </c>
      <c r="B268" s="1" t="n">
        <v>44133</v>
      </c>
      <c r="C268" s="1" t="n">
        <v>45172</v>
      </c>
      <c r="D268" t="inlineStr">
        <is>
          <t>JÄMTLANDS LÄN</t>
        </is>
      </c>
      <c r="E268" t="inlineStr">
        <is>
          <t>ÖSTERSUND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56486-2020</t>
        </is>
      </c>
      <c r="B269" s="1" t="n">
        <v>44137</v>
      </c>
      <c r="C269" s="1" t="n">
        <v>45172</v>
      </c>
      <c r="D269" t="inlineStr">
        <is>
          <t>JÄMTLANDS LÄN</t>
        </is>
      </c>
      <c r="E269" t="inlineStr">
        <is>
          <t>ÖSTERSUND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56642-2020</t>
        </is>
      </c>
      <c r="B270" s="1" t="n">
        <v>44137</v>
      </c>
      <c r="C270" s="1" t="n">
        <v>45172</v>
      </c>
      <c r="D270" t="inlineStr">
        <is>
          <t>JÄMTLANDS LÄN</t>
        </is>
      </c>
      <c r="E270" t="inlineStr">
        <is>
          <t>ÖSTERSUND</t>
        </is>
      </c>
      <c r="F270" t="inlineStr">
        <is>
          <t>Övriga Aktiebolag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56636-2020</t>
        </is>
      </c>
      <c r="B271" s="1" t="n">
        <v>44137</v>
      </c>
      <c r="C271" s="1" t="n">
        <v>45172</v>
      </c>
      <c r="D271" t="inlineStr">
        <is>
          <t>JÄMTLANDS LÄN</t>
        </is>
      </c>
      <c r="E271" t="inlineStr">
        <is>
          <t>ÖSTERSUND</t>
        </is>
      </c>
      <c r="F271" t="inlineStr">
        <is>
          <t>Övriga Aktiebolag</t>
        </is>
      </c>
      <c r="G271" t="n">
        <v>16.2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57624-2020</t>
        </is>
      </c>
      <c r="B272" s="1" t="n">
        <v>44140</v>
      </c>
      <c r="C272" s="1" t="n">
        <v>45172</v>
      </c>
      <c r="D272" t="inlineStr">
        <is>
          <t>JÄMTLANDS LÄN</t>
        </is>
      </c>
      <c r="E272" t="inlineStr">
        <is>
          <t>ÖSTERSUND</t>
        </is>
      </c>
      <c r="F272" t="inlineStr">
        <is>
          <t>Övriga Aktiebolag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57616-2020</t>
        </is>
      </c>
      <c r="B273" s="1" t="n">
        <v>44140</v>
      </c>
      <c r="C273" s="1" t="n">
        <v>45172</v>
      </c>
      <c r="D273" t="inlineStr">
        <is>
          <t>JÄMTLANDS LÄN</t>
        </is>
      </c>
      <c r="E273" t="inlineStr">
        <is>
          <t>ÖSTERSUND</t>
        </is>
      </c>
      <c r="F273" t="inlineStr">
        <is>
          <t>Övriga Aktiebolag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57791-2020</t>
        </is>
      </c>
      <c r="B274" s="1" t="n">
        <v>44141</v>
      </c>
      <c r="C274" s="1" t="n">
        <v>45172</v>
      </c>
      <c r="D274" t="inlineStr">
        <is>
          <t>JÄMTLANDS LÄN</t>
        </is>
      </c>
      <c r="E274" t="inlineStr">
        <is>
          <t>ÖSTERSUND</t>
        </is>
      </c>
      <c r="F274" t="inlineStr">
        <is>
          <t>Övriga Aktiebolag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57771-2020</t>
        </is>
      </c>
      <c r="B275" s="1" t="n">
        <v>44141</v>
      </c>
      <c r="C275" s="1" t="n">
        <v>45172</v>
      </c>
      <c r="D275" t="inlineStr">
        <is>
          <t>JÄMTLANDS LÄN</t>
        </is>
      </c>
      <c r="E275" t="inlineStr">
        <is>
          <t>ÖSTERSUND</t>
        </is>
      </c>
      <c r="F275" t="inlineStr">
        <is>
          <t>Övriga Aktiebolag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60050-2020</t>
        </is>
      </c>
      <c r="B276" s="1" t="n">
        <v>44151</v>
      </c>
      <c r="C276" s="1" t="n">
        <v>45172</v>
      </c>
      <c r="D276" t="inlineStr">
        <is>
          <t>JÄMTLANDS LÄN</t>
        </is>
      </c>
      <c r="E276" t="inlineStr">
        <is>
          <t>ÖSTERSUND</t>
        </is>
      </c>
      <c r="F276" t="inlineStr">
        <is>
          <t>SCA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60126-2020</t>
        </is>
      </c>
      <c r="B277" s="1" t="n">
        <v>44152</v>
      </c>
      <c r="C277" s="1" t="n">
        <v>45172</v>
      </c>
      <c r="D277" t="inlineStr">
        <is>
          <t>JÄMTLANDS LÄN</t>
        </is>
      </c>
      <c r="E277" t="inlineStr">
        <is>
          <t>ÖSTERSUND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65410-2020</t>
        </is>
      </c>
      <c r="B278" s="1" t="n">
        <v>44173</v>
      </c>
      <c r="C278" s="1" t="n">
        <v>45172</v>
      </c>
      <c r="D278" t="inlineStr">
        <is>
          <t>JÄMTLANDS LÄN</t>
        </is>
      </c>
      <c r="E278" t="inlineStr">
        <is>
          <t>ÖSTERSUND</t>
        </is>
      </c>
      <c r="F278" t="inlineStr">
        <is>
          <t>Kommuner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66269-2020</t>
        </is>
      </c>
      <c r="B279" s="1" t="n">
        <v>44174</v>
      </c>
      <c r="C279" s="1" t="n">
        <v>45172</v>
      </c>
      <c r="D279" t="inlineStr">
        <is>
          <t>JÄMTLANDS LÄN</t>
        </is>
      </c>
      <c r="E279" t="inlineStr">
        <is>
          <t>ÖSTERSUND</t>
        </is>
      </c>
      <c r="F279" t="inlineStr">
        <is>
          <t>Övriga statliga verk och myndigheter</t>
        </is>
      </c>
      <c r="G279" t="n">
        <v>10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66286-2020</t>
        </is>
      </c>
      <c r="B280" s="1" t="n">
        <v>44174</v>
      </c>
      <c r="C280" s="1" t="n">
        <v>45172</v>
      </c>
      <c r="D280" t="inlineStr">
        <is>
          <t>JÄMTLANDS LÄN</t>
        </is>
      </c>
      <c r="E280" t="inlineStr">
        <is>
          <t>ÖSTERSUND</t>
        </is>
      </c>
      <c r="F280" t="inlineStr">
        <is>
          <t>Övriga statliga verk och myndigheter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66288-2020</t>
        </is>
      </c>
      <c r="B281" s="1" t="n">
        <v>44174</v>
      </c>
      <c r="C281" s="1" t="n">
        <v>45172</v>
      </c>
      <c r="D281" t="inlineStr">
        <is>
          <t>JÄMTLANDS LÄN</t>
        </is>
      </c>
      <c r="E281" t="inlineStr">
        <is>
          <t>ÖSTERSUND</t>
        </is>
      </c>
      <c r="F281" t="inlineStr">
        <is>
          <t>Övriga statliga verk och myndigheter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67646-2020</t>
        </is>
      </c>
      <c r="B282" s="1" t="n">
        <v>44180</v>
      </c>
      <c r="C282" s="1" t="n">
        <v>45172</v>
      </c>
      <c r="D282" t="inlineStr">
        <is>
          <t>JÄMTLANDS LÄN</t>
        </is>
      </c>
      <c r="E282" t="inlineStr">
        <is>
          <t>ÖSTERSUND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67643-2020</t>
        </is>
      </c>
      <c r="B283" s="1" t="n">
        <v>44180</v>
      </c>
      <c r="C283" s="1" t="n">
        <v>45172</v>
      </c>
      <c r="D283" t="inlineStr">
        <is>
          <t>JÄMTLANDS LÄN</t>
        </is>
      </c>
      <c r="E283" t="inlineStr">
        <is>
          <t>ÖSTERSUND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68408-2020</t>
        </is>
      </c>
      <c r="B284" s="1" t="n">
        <v>44186</v>
      </c>
      <c r="C284" s="1" t="n">
        <v>45172</v>
      </c>
      <c r="D284" t="inlineStr">
        <is>
          <t>JÄMTLANDS LÄN</t>
        </is>
      </c>
      <c r="E284" t="inlineStr">
        <is>
          <t>ÖSTERSUND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68937-2020</t>
        </is>
      </c>
      <c r="B285" s="1" t="n">
        <v>44187</v>
      </c>
      <c r="C285" s="1" t="n">
        <v>45172</v>
      </c>
      <c r="D285" t="inlineStr">
        <is>
          <t>JÄMTLANDS LÄN</t>
        </is>
      </c>
      <c r="E285" t="inlineStr">
        <is>
          <t>ÖSTERSUND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501-2021</t>
        </is>
      </c>
      <c r="B286" s="1" t="n">
        <v>44200</v>
      </c>
      <c r="C286" s="1" t="n">
        <v>45172</v>
      </c>
      <c r="D286" t="inlineStr">
        <is>
          <t>JÄMTLANDS LÄN</t>
        </is>
      </c>
      <c r="E286" t="inlineStr">
        <is>
          <t>ÖSTERSUND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126-2021</t>
        </is>
      </c>
      <c r="B287" s="1" t="n">
        <v>44200</v>
      </c>
      <c r="C287" s="1" t="n">
        <v>45172</v>
      </c>
      <c r="D287" t="inlineStr">
        <is>
          <t>JÄMTLANDS LÄN</t>
        </is>
      </c>
      <c r="E287" t="inlineStr">
        <is>
          <t>ÖSTERSUND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1322-2021</t>
        </is>
      </c>
      <c r="B288" s="1" t="n">
        <v>44208</v>
      </c>
      <c r="C288" s="1" t="n">
        <v>45172</v>
      </c>
      <c r="D288" t="inlineStr">
        <is>
          <t>JÄMTLANDS LÄN</t>
        </is>
      </c>
      <c r="E288" t="inlineStr">
        <is>
          <t>ÖSTERSUND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2686-2021</t>
        </is>
      </c>
      <c r="B289" s="1" t="n">
        <v>44214</v>
      </c>
      <c r="C289" s="1" t="n">
        <v>45172</v>
      </c>
      <c r="D289" t="inlineStr">
        <is>
          <t>JÄMTLANDS LÄN</t>
        </is>
      </c>
      <c r="E289" t="inlineStr">
        <is>
          <t>ÖSTERSUND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5460-2021</t>
        </is>
      </c>
      <c r="B290" s="1" t="n">
        <v>44229</v>
      </c>
      <c r="C290" s="1" t="n">
        <v>45172</v>
      </c>
      <c r="D290" t="inlineStr">
        <is>
          <t>JÄMTLANDS LÄN</t>
        </is>
      </c>
      <c r="E290" t="inlineStr">
        <is>
          <t>ÖSTERSUND</t>
        </is>
      </c>
      <c r="G290" t="n">
        <v>14.2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6578-2021</t>
        </is>
      </c>
      <c r="B291" s="1" t="n">
        <v>44236</v>
      </c>
      <c r="C291" s="1" t="n">
        <v>45172</v>
      </c>
      <c r="D291" t="inlineStr">
        <is>
          <t>JÄMTLANDS LÄN</t>
        </is>
      </c>
      <c r="E291" t="inlineStr">
        <is>
          <t>ÖSTERSUND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8396-2021</t>
        </is>
      </c>
      <c r="B292" s="1" t="n">
        <v>44238</v>
      </c>
      <c r="C292" s="1" t="n">
        <v>45172</v>
      </c>
      <c r="D292" t="inlineStr">
        <is>
          <t>JÄMTLANDS LÄN</t>
        </is>
      </c>
      <c r="E292" t="inlineStr">
        <is>
          <t>ÖSTERSUND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10590-2021</t>
        </is>
      </c>
      <c r="B293" s="1" t="n">
        <v>44258</v>
      </c>
      <c r="C293" s="1" t="n">
        <v>45172</v>
      </c>
      <c r="D293" t="inlineStr">
        <is>
          <t>JÄMTLANDS LÄN</t>
        </is>
      </c>
      <c r="E293" t="inlineStr">
        <is>
          <t>ÖSTERSUND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10834-2021</t>
        </is>
      </c>
      <c r="B294" s="1" t="n">
        <v>44259</v>
      </c>
      <c r="C294" s="1" t="n">
        <v>45172</v>
      </c>
      <c r="D294" t="inlineStr">
        <is>
          <t>JÄMTLANDS LÄN</t>
        </is>
      </c>
      <c r="E294" t="inlineStr">
        <is>
          <t>ÖSTERSUND</t>
        </is>
      </c>
      <c r="G294" t="n">
        <v>12.2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10911-2021</t>
        </is>
      </c>
      <c r="B295" s="1" t="n">
        <v>44259</v>
      </c>
      <c r="C295" s="1" t="n">
        <v>45172</v>
      </c>
      <c r="D295" t="inlineStr">
        <is>
          <t>JÄMTLANDS LÄN</t>
        </is>
      </c>
      <c r="E295" t="inlineStr">
        <is>
          <t>ÖSTERSUND</t>
        </is>
      </c>
      <c r="F295" t="inlineStr">
        <is>
          <t>Kyrkan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12710-2021</t>
        </is>
      </c>
      <c r="B296" s="1" t="n">
        <v>44270</v>
      </c>
      <c r="C296" s="1" t="n">
        <v>45172</v>
      </c>
      <c r="D296" t="inlineStr">
        <is>
          <t>JÄMTLANDS LÄN</t>
        </is>
      </c>
      <c r="E296" t="inlineStr">
        <is>
          <t>ÖSTERSUND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12705-2021</t>
        </is>
      </c>
      <c r="B297" s="1" t="n">
        <v>44270</v>
      </c>
      <c r="C297" s="1" t="n">
        <v>45172</v>
      </c>
      <c r="D297" t="inlineStr">
        <is>
          <t>JÄMTLANDS LÄN</t>
        </is>
      </c>
      <c r="E297" t="inlineStr">
        <is>
          <t>ÖSTERSUND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15659-2021</t>
        </is>
      </c>
      <c r="B298" s="1" t="n">
        <v>44298</v>
      </c>
      <c r="C298" s="1" t="n">
        <v>45172</v>
      </c>
      <c r="D298" t="inlineStr">
        <is>
          <t>JÄMTLANDS LÄN</t>
        </is>
      </c>
      <c r="E298" t="inlineStr">
        <is>
          <t>ÖSTERSUND</t>
        </is>
      </c>
      <c r="G298" t="n">
        <v>13.3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17362-2021</t>
        </is>
      </c>
      <c r="B299" s="1" t="n">
        <v>44298</v>
      </c>
      <c r="C299" s="1" t="n">
        <v>45172</v>
      </c>
      <c r="D299" t="inlineStr">
        <is>
          <t>JÄMTLANDS LÄN</t>
        </is>
      </c>
      <c r="E299" t="inlineStr">
        <is>
          <t>ÖSTERSUND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17217-2021</t>
        </is>
      </c>
      <c r="B300" s="1" t="n">
        <v>44298</v>
      </c>
      <c r="C300" s="1" t="n">
        <v>45172</v>
      </c>
      <c r="D300" t="inlineStr">
        <is>
          <t>JÄMTLANDS LÄN</t>
        </is>
      </c>
      <c r="E300" t="inlineStr">
        <is>
          <t>ÖSTERSUND</t>
        </is>
      </c>
      <c r="G300" t="n">
        <v>10.4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17596-2021</t>
        </is>
      </c>
      <c r="B301" s="1" t="n">
        <v>44299</v>
      </c>
      <c r="C301" s="1" t="n">
        <v>45172</v>
      </c>
      <c r="D301" t="inlineStr">
        <is>
          <t>JÄMTLANDS LÄN</t>
        </is>
      </c>
      <c r="E301" t="inlineStr">
        <is>
          <t>ÖSTERSUND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20290-2021</t>
        </is>
      </c>
      <c r="B302" s="1" t="n">
        <v>44314</v>
      </c>
      <c r="C302" s="1" t="n">
        <v>45172</v>
      </c>
      <c r="D302" t="inlineStr">
        <is>
          <t>JÄMTLANDS LÄN</t>
        </is>
      </c>
      <c r="E302" t="inlineStr">
        <is>
          <t>ÖSTERSUND</t>
        </is>
      </c>
      <c r="F302" t="inlineStr">
        <is>
          <t>SCA</t>
        </is>
      </c>
      <c r="G302" t="n">
        <v>8.1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20620-2021</t>
        </is>
      </c>
      <c r="B303" s="1" t="n">
        <v>44316</v>
      </c>
      <c r="C303" s="1" t="n">
        <v>45172</v>
      </c>
      <c r="D303" t="inlineStr">
        <is>
          <t>JÄMTLANDS LÄN</t>
        </is>
      </c>
      <c r="E303" t="inlineStr">
        <is>
          <t>ÖSTERSUND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21306-2021</t>
        </is>
      </c>
      <c r="B304" s="1" t="n">
        <v>44320</v>
      </c>
      <c r="C304" s="1" t="n">
        <v>45172</v>
      </c>
      <c r="D304" t="inlineStr">
        <is>
          <t>JÄMTLANDS LÄN</t>
        </is>
      </c>
      <c r="E304" t="inlineStr">
        <is>
          <t>ÖSTERSUND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21849-2021</t>
        </is>
      </c>
      <c r="B305" s="1" t="n">
        <v>44322</v>
      </c>
      <c r="C305" s="1" t="n">
        <v>45172</v>
      </c>
      <c r="D305" t="inlineStr">
        <is>
          <t>JÄMTLANDS LÄN</t>
        </is>
      </c>
      <c r="E305" t="inlineStr">
        <is>
          <t>ÖSTERSUND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22126-2021</t>
        </is>
      </c>
      <c r="B306" s="1" t="n">
        <v>44323</v>
      </c>
      <c r="C306" s="1" t="n">
        <v>45172</v>
      </c>
      <c r="D306" t="inlineStr">
        <is>
          <t>JÄMTLANDS LÄN</t>
        </is>
      </c>
      <c r="E306" t="inlineStr">
        <is>
          <t>ÖSTERSUND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23187-2021</t>
        </is>
      </c>
      <c r="B307" s="1" t="n">
        <v>44328</v>
      </c>
      <c r="C307" s="1" t="n">
        <v>45172</v>
      </c>
      <c r="D307" t="inlineStr">
        <is>
          <t>JÄMTLANDS LÄN</t>
        </is>
      </c>
      <c r="E307" t="inlineStr">
        <is>
          <t>ÖSTERSUND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23895-2021</t>
        </is>
      </c>
      <c r="B308" s="1" t="n">
        <v>44335</v>
      </c>
      <c r="C308" s="1" t="n">
        <v>45172</v>
      </c>
      <c r="D308" t="inlineStr">
        <is>
          <t>JÄMTLANDS LÄN</t>
        </is>
      </c>
      <c r="E308" t="inlineStr">
        <is>
          <t>ÖSTERSUND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24312-2021</t>
        </is>
      </c>
      <c r="B309" s="1" t="n">
        <v>44336</v>
      </c>
      <c r="C309" s="1" t="n">
        <v>45172</v>
      </c>
      <c r="D309" t="inlineStr">
        <is>
          <t>JÄMTLANDS LÄN</t>
        </is>
      </c>
      <c r="E309" t="inlineStr">
        <is>
          <t>ÖSTERSUND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24706-2021</t>
        </is>
      </c>
      <c r="B310" s="1" t="n">
        <v>44340</v>
      </c>
      <c r="C310" s="1" t="n">
        <v>45172</v>
      </c>
      <c r="D310" t="inlineStr">
        <is>
          <t>JÄMTLANDS LÄN</t>
        </is>
      </c>
      <c r="E310" t="inlineStr">
        <is>
          <t>ÖSTERSUND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24721-2021</t>
        </is>
      </c>
      <c r="B311" s="1" t="n">
        <v>44340</v>
      </c>
      <c r="C311" s="1" t="n">
        <v>45172</v>
      </c>
      <c r="D311" t="inlineStr">
        <is>
          <t>JÄMTLANDS LÄN</t>
        </is>
      </c>
      <c r="E311" t="inlineStr">
        <is>
          <t>ÖSTERSUND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26259-2021</t>
        </is>
      </c>
      <c r="B312" s="1" t="n">
        <v>44347</v>
      </c>
      <c r="C312" s="1" t="n">
        <v>45172</v>
      </c>
      <c r="D312" t="inlineStr">
        <is>
          <t>JÄMTLANDS LÄN</t>
        </is>
      </c>
      <c r="E312" t="inlineStr">
        <is>
          <t>ÖSTERSUND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26254-2021</t>
        </is>
      </c>
      <c r="B313" s="1" t="n">
        <v>44347</v>
      </c>
      <c r="C313" s="1" t="n">
        <v>45172</v>
      </c>
      <c r="D313" t="inlineStr">
        <is>
          <t>JÄMTLANDS LÄN</t>
        </is>
      </c>
      <c r="E313" t="inlineStr">
        <is>
          <t>ÖSTERSUND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27061-2021</t>
        </is>
      </c>
      <c r="B314" s="1" t="n">
        <v>44349</v>
      </c>
      <c r="C314" s="1" t="n">
        <v>45172</v>
      </c>
      <c r="D314" t="inlineStr">
        <is>
          <t>JÄMTLANDS LÄN</t>
        </is>
      </c>
      <c r="E314" t="inlineStr">
        <is>
          <t>ÖSTERSUND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27004-2021</t>
        </is>
      </c>
      <c r="B315" s="1" t="n">
        <v>44349</v>
      </c>
      <c r="C315" s="1" t="n">
        <v>45172</v>
      </c>
      <c r="D315" t="inlineStr">
        <is>
          <t>JÄMTLANDS LÄN</t>
        </is>
      </c>
      <c r="E315" t="inlineStr">
        <is>
          <t>ÖSTERSUND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28285-2021</t>
        </is>
      </c>
      <c r="B316" s="1" t="n">
        <v>44355</v>
      </c>
      <c r="C316" s="1" t="n">
        <v>45172</v>
      </c>
      <c r="D316" t="inlineStr">
        <is>
          <t>JÄMTLANDS LÄN</t>
        </is>
      </c>
      <c r="E316" t="inlineStr">
        <is>
          <t>ÖSTERSUND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29707-2021</t>
        </is>
      </c>
      <c r="B317" s="1" t="n">
        <v>44362</v>
      </c>
      <c r="C317" s="1" t="n">
        <v>45172</v>
      </c>
      <c r="D317" t="inlineStr">
        <is>
          <t>JÄMTLANDS LÄN</t>
        </is>
      </c>
      <c r="E317" t="inlineStr">
        <is>
          <t>ÖSTERSUND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31040-2021</t>
        </is>
      </c>
      <c r="B318" s="1" t="n">
        <v>44368</v>
      </c>
      <c r="C318" s="1" t="n">
        <v>45172</v>
      </c>
      <c r="D318" t="inlineStr">
        <is>
          <t>JÄMTLANDS LÄN</t>
        </is>
      </c>
      <c r="E318" t="inlineStr">
        <is>
          <t>ÖSTERSUND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32986-2021</t>
        </is>
      </c>
      <c r="B319" s="1" t="n">
        <v>44375</v>
      </c>
      <c r="C319" s="1" t="n">
        <v>45172</v>
      </c>
      <c r="D319" t="inlineStr">
        <is>
          <t>JÄMTLANDS LÄN</t>
        </is>
      </c>
      <c r="E319" t="inlineStr">
        <is>
          <t>ÖSTERSUND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33002-2021</t>
        </is>
      </c>
      <c r="B320" s="1" t="n">
        <v>44375</v>
      </c>
      <c r="C320" s="1" t="n">
        <v>45172</v>
      </c>
      <c r="D320" t="inlineStr">
        <is>
          <t>JÄMTLANDS LÄN</t>
        </is>
      </c>
      <c r="E320" t="inlineStr">
        <is>
          <t>ÖSTERSUND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32990-2021</t>
        </is>
      </c>
      <c r="B321" s="1" t="n">
        <v>44375</v>
      </c>
      <c r="C321" s="1" t="n">
        <v>45172</v>
      </c>
      <c r="D321" t="inlineStr">
        <is>
          <t>JÄMTLANDS LÄN</t>
        </is>
      </c>
      <c r="E321" t="inlineStr">
        <is>
          <t>ÖSTERSUND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32998-2021</t>
        </is>
      </c>
      <c r="B322" s="1" t="n">
        <v>44375</v>
      </c>
      <c r="C322" s="1" t="n">
        <v>45172</v>
      </c>
      <c r="D322" t="inlineStr">
        <is>
          <t>JÄMTLANDS LÄN</t>
        </is>
      </c>
      <c r="E322" t="inlineStr">
        <is>
          <t>ÖSTERSUND</t>
        </is>
      </c>
      <c r="G322" t="n">
        <v>0.1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32994-2021</t>
        </is>
      </c>
      <c r="B323" s="1" t="n">
        <v>44375</v>
      </c>
      <c r="C323" s="1" t="n">
        <v>45172</v>
      </c>
      <c r="D323" t="inlineStr">
        <is>
          <t>JÄMTLANDS LÄN</t>
        </is>
      </c>
      <c r="E323" t="inlineStr">
        <is>
          <t>ÖSTERSUND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33004-2021</t>
        </is>
      </c>
      <c r="B324" s="1" t="n">
        <v>44375</v>
      </c>
      <c r="C324" s="1" t="n">
        <v>45172</v>
      </c>
      <c r="D324" t="inlineStr">
        <is>
          <t>JÄMTLANDS LÄN</t>
        </is>
      </c>
      <c r="E324" t="inlineStr">
        <is>
          <t>ÖSTERSUND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33831-2021</t>
        </is>
      </c>
      <c r="B325" s="1" t="n">
        <v>44378</v>
      </c>
      <c r="C325" s="1" t="n">
        <v>45172</v>
      </c>
      <c r="D325" t="inlineStr">
        <is>
          <t>JÄMTLANDS LÄN</t>
        </is>
      </c>
      <c r="E325" t="inlineStr">
        <is>
          <t>ÖSTERSUND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35755-2021</t>
        </is>
      </c>
      <c r="B326" s="1" t="n">
        <v>44385</v>
      </c>
      <c r="C326" s="1" t="n">
        <v>45172</v>
      </c>
      <c r="D326" t="inlineStr">
        <is>
          <t>JÄMTLANDS LÄN</t>
        </is>
      </c>
      <c r="E326" t="inlineStr">
        <is>
          <t>ÖSTERSUND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38142-2021</t>
        </is>
      </c>
      <c r="B327" s="1" t="n">
        <v>44405</v>
      </c>
      <c r="C327" s="1" t="n">
        <v>45172</v>
      </c>
      <c r="D327" t="inlineStr">
        <is>
          <t>JÄMTLANDS LÄN</t>
        </is>
      </c>
      <c r="E327" t="inlineStr">
        <is>
          <t>ÖSTERSUND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39735-2021</t>
        </is>
      </c>
      <c r="B328" s="1" t="n">
        <v>44414</v>
      </c>
      <c r="C328" s="1" t="n">
        <v>45172</v>
      </c>
      <c r="D328" t="inlineStr">
        <is>
          <t>JÄMTLANDS LÄN</t>
        </is>
      </c>
      <c r="E328" t="inlineStr">
        <is>
          <t>ÖSTERSUND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41802-2021</t>
        </is>
      </c>
      <c r="B329" s="1" t="n">
        <v>44425</v>
      </c>
      <c r="C329" s="1" t="n">
        <v>45172</v>
      </c>
      <c r="D329" t="inlineStr">
        <is>
          <t>JÄMTLANDS LÄN</t>
        </is>
      </c>
      <c r="E329" t="inlineStr">
        <is>
          <t>ÖSTERSUND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42469-2021</t>
        </is>
      </c>
      <c r="B330" s="1" t="n">
        <v>44427</v>
      </c>
      <c r="C330" s="1" t="n">
        <v>45172</v>
      </c>
      <c r="D330" t="inlineStr">
        <is>
          <t>JÄMTLANDS LÄN</t>
        </is>
      </c>
      <c r="E330" t="inlineStr">
        <is>
          <t>ÖSTERSUND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42793-2021</t>
        </is>
      </c>
      <c r="B331" s="1" t="n">
        <v>44428</v>
      </c>
      <c r="C331" s="1" t="n">
        <v>45172</v>
      </c>
      <c r="D331" t="inlineStr">
        <is>
          <t>JÄMTLANDS LÄN</t>
        </is>
      </c>
      <c r="E331" t="inlineStr">
        <is>
          <t>ÖSTERSUND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42832-2021</t>
        </is>
      </c>
      <c r="B332" s="1" t="n">
        <v>44430</v>
      </c>
      <c r="C332" s="1" t="n">
        <v>45172</v>
      </c>
      <c r="D332" t="inlineStr">
        <is>
          <t>JÄMTLANDS LÄN</t>
        </is>
      </c>
      <c r="E332" t="inlineStr">
        <is>
          <t>ÖSTERSUND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43310-2021</t>
        </is>
      </c>
      <c r="B333" s="1" t="n">
        <v>44432</v>
      </c>
      <c r="C333" s="1" t="n">
        <v>45172</v>
      </c>
      <c r="D333" t="inlineStr">
        <is>
          <t>JÄMTLANDS LÄN</t>
        </is>
      </c>
      <c r="E333" t="inlineStr">
        <is>
          <t>ÖSTERSUND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44013-2021</t>
        </is>
      </c>
      <c r="B334" s="1" t="n">
        <v>44434</v>
      </c>
      <c r="C334" s="1" t="n">
        <v>45172</v>
      </c>
      <c r="D334" t="inlineStr">
        <is>
          <t>JÄMTLANDS LÄN</t>
        </is>
      </c>
      <c r="E334" t="inlineStr">
        <is>
          <t>ÖSTERSUND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44267-2021</t>
        </is>
      </c>
      <c r="B335" s="1" t="n">
        <v>44434</v>
      </c>
      <c r="C335" s="1" t="n">
        <v>45172</v>
      </c>
      <c r="D335" t="inlineStr">
        <is>
          <t>JÄMTLANDS LÄN</t>
        </is>
      </c>
      <c r="E335" t="inlineStr">
        <is>
          <t>ÖSTERSUND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44051-2021</t>
        </is>
      </c>
      <c r="B336" s="1" t="n">
        <v>44434</v>
      </c>
      <c r="C336" s="1" t="n">
        <v>45172</v>
      </c>
      <c r="D336" t="inlineStr">
        <is>
          <t>JÄMTLANDS LÄN</t>
        </is>
      </c>
      <c r="E336" t="inlineStr">
        <is>
          <t>ÖSTERSUND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46139-2021</t>
        </is>
      </c>
      <c r="B337" s="1" t="n">
        <v>44441</v>
      </c>
      <c r="C337" s="1" t="n">
        <v>45172</v>
      </c>
      <c r="D337" t="inlineStr">
        <is>
          <t>JÄMTLANDS LÄN</t>
        </is>
      </c>
      <c r="E337" t="inlineStr">
        <is>
          <t>ÖSTERSUND</t>
        </is>
      </c>
      <c r="G337" t="n">
        <v>12.8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46111-2021</t>
        </is>
      </c>
      <c r="B338" s="1" t="n">
        <v>44441</v>
      </c>
      <c r="C338" s="1" t="n">
        <v>45172</v>
      </c>
      <c r="D338" t="inlineStr">
        <is>
          <t>JÄMTLANDS LÄN</t>
        </is>
      </c>
      <c r="E338" t="inlineStr">
        <is>
          <t>ÖSTERSUND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47693-2021</t>
        </is>
      </c>
      <c r="B339" s="1" t="n">
        <v>44448</v>
      </c>
      <c r="C339" s="1" t="n">
        <v>45172</v>
      </c>
      <c r="D339" t="inlineStr">
        <is>
          <t>JÄMTLANDS LÄN</t>
        </is>
      </c>
      <c r="E339" t="inlineStr">
        <is>
          <t>ÖSTERSUND</t>
        </is>
      </c>
      <c r="G339" t="n">
        <v>5.6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48947-2021</t>
        </is>
      </c>
      <c r="B340" s="1" t="n">
        <v>44453</v>
      </c>
      <c r="C340" s="1" t="n">
        <v>45172</v>
      </c>
      <c r="D340" t="inlineStr">
        <is>
          <t>JÄMTLANDS LÄN</t>
        </is>
      </c>
      <c r="E340" t="inlineStr">
        <is>
          <t>ÖSTERSUND</t>
        </is>
      </c>
      <c r="G340" t="n">
        <v>22.3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52913-2021</t>
        </is>
      </c>
      <c r="B341" s="1" t="n">
        <v>44466</v>
      </c>
      <c r="C341" s="1" t="n">
        <v>45172</v>
      </c>
      <c r="D341" t="inlineStr">
        <is>
          <t>JÄMTLANDS LÄN</t>
        </is>
      </c>
      <c r="E341" t="inlineStr">
        <is>
          <t>ÖSTERSUND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55302-2021</t>
        </is>
      </c>
      <c r="B342" s="1" t="n">
        <v>44475</v>
      </c>
      <c r="C342" s="1" t="n">
        <v>45172</v>
      </c>
      <c r="D342" t="inlineStr">
        <is>
          <t>JÄMTLANDS LÄN</t>
        </is>
      </c>
      <c r="E342" t="inlineStr">
        <is>
          <t>ÖSTERSUND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61631-2021</t>
        </is>
      </c>
      <c r="B343" s="1" t="n">
        <v>44501</v>
      </c>
      <c r="C343" s="1" t="n">
        <v>45172</v>
      </c>
      <c r="D343" t="inlineStr">
        <is>
          <t>JÄMTLANDS LÄN</t>
        </is>
      </c>
      <c r="E343" t="inlineStr">
        <is>
          <t>ÖSTERSUND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65428-2021</t>
        </is>
      </c>
      <c r="B344" s="1" t="n">
        <v>44515</v>
      </c>
      <c r="C344" s="1" t="n">
        <v>45172</v>
      </c>
      <c r="D344" t="inlineStr">
        <is>
          <t>JÄMTLANDS LÄN</t>
        </is>
      </c>
      <c r="E344" t="inlineStr">
        <is>
          <t>ÖSTERSUND</t>
        </is>
      </c>
      <c r="F344" t="inlineStr">
        <is>
          <t>SCA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65866-2021</t>
        </is>
      </c>
      <c r="B345" s="1" t="n">
        <v>44516</v>
      </c>
      <c r="C345" s="1" t="n">
        <v>45172</v>
      </c>
      <c r="D345" t="inlineStr">
        <is>
          <t>JÄMTLANDS LÄN</t>
        </is>
      </c>
      <c r="E345" t="inlineStr">
        <is>
          <t>ÖSTERSUND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66940-2021</t>
        </is>
      </c>
      <c r="B346" s="1" t="n">
        <v>44522</v>
      </c>
      <c r="C346" s="1" t="n">
        <v>45172</v>
      </c>
      <c r="D346" t="inlineStr">
        <is>
          <t>JÄMTLANDS LÄN</t>
        </is>
      </c>
      <c r="E346" t="inlineStr">
        <is>
          <t>ÖSTERSUND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69190-2021</t>
        </is>
      </c>
      <c r="B347" s="1" t="n">
        <v>44529</v>
      </c>
      <c r="C347" s="1" t="n">
        <v>45172</v>
      </c>
      <c r="D347" t="inlineStr">
        <is>
          <t>JÄMTLANDS LÄN</t>
        </is>
      </c>
      <c r="E347" t="inlineStr">
        <is>
          <t>ÖSTERSUND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70256-2021</t>
        </is>
      </c>
      <c r="B348" s="1" t="n">
        <v>44533</v>
      </c>
      <c r="C348" s="1" t="n">
        <v>45172</v>
      </c>
      <c r="D348" t="inlineStr">
        <is>
          <t>JÄMTLANDS LÄN</t>
        </is>
      </c>
      <c r="E348" t="inlineStr">
        <is>
          <t>ÖSTERSUND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70678-2021</t>
        </is>
      </c>
      <c r="B349" s="1" t="n">
        <v>44537</v>
      </c>
      <c r="C349" s="1" t="n">
        <v>45172</v>
      </c>
      <c r="D349" t="inlineStr">
        <is>
          <t>JÄMTLANDS LÄN</t>
        </is>
      </c>
      <c r="E349" t="inlineStr">
        <is>
          <t>ÖSTERSUND</t>
        </is>
      </c>
      <c r="G349" t="n">
        <v>21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71823-2021</t>
        </is>
      </c>
      <c r="B350" s="1" t="n">
        <v>44539</v>
      </c>
      <c r="C350" s="1" t="n">
        <v>45172</v>
      </c>
      <c r="D350" t="inlineStr">
        <is>
          <t>JÄMTLANDS LÄN</t>
        </is>
      </c>
      <c r="E350" t="inlineStr">
        <is>
          <t>ÖSTERSUND</t>
        </is>
      </c>
      <c r="G350" t="n">
        <v>10.5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72089-2021</t>
        </is>
      </c>
      <c r="B351" s="1" t="n">
        <v>44540</v>
      </c>
      <c r="C351" s="1" t="n">
        <v>45172</v>
      </c>
      <c r="D351" t="inlineStr">
        <is>
          <t>JÄMTLANDS LÄN</t>
        </is>
      </c>
      <c r="E351" t="inlineStr">
        <is>
          <t>ÖSTERSUND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72258-2021</t>
        </is>
      </c>
      <c r="B352" s="1" t="n">
        <v>44540</v>
      </c>
      <c r="C352" s="1" t="n">
        <v>45172</v>
      </c>
      <c r="D352" t="inlineStr">
        <is>
          <t>JÄMTLANDS LÄN</t>
        </is>
      </c>
      <c r="E352" t="inlineStr">
        <is>
          <t>ÖSTERSUND</t>
        </is>
      </c>
      <c r="G352" t="n">
        <v>8.300000000000001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72041-2021</t>
        </is>
      </c>
      <c r="B353" s="1" t="n">
        <v>44540</v>
      </c>
      <c r="C353" s="1" t="n">
        <v>45172</v>
      </c>
      <c r="D353" t="inlineStr">
        <is>
          <t>JÄMTLANDS LÄN</t>
        </is>
      </c>
      <c r="E353" t="inlineStr">
        <is>
          <t>ÖSTERSUND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72061-2021</t>
        </is>
      </c>
      <c r="B354" s="1" t="n">
        <v>44540</v>
      </c>
      <c r="C354" s="1" t="n">
        <v>45172</v>
      </c>
      <c r="D354" t="inlineStr">
        <is>
          <t>JÄMTLANDS LÄN</t>
        </is>
      </c>
      <c r="E354" t="inlineStr">
        <is>
          <t>ÖSTERSUND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71956-2021</t>
        </is>
      </c>
      <c r="B355" s="1" t="n">
        <v>44544</v>
      </c>
      <c r="C355" s="1" t="n">
        <v>45172</v>
      </c>
      <c r="D355" t="inlineStr">
        <is>
          <t>JÄMTLANDS LÄN</t>
        </is>
      </c>
      <c r="E355" t="inlineStr">
        <is>
          <t>ÖSTERSUND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72938-2021</t>
        </is>
      </c>
      <c r="B356" s="1" t="n">
        <v>44547</v>
      </c>
      <c r="C356" s="1" t="n">
        <v>45172</v>
      </c>
      <c r="D356" t="inlineStr">
        <is>
          <t>JÄMTLANDS LÄN</t>
        </is>
      </c>
      <c r="E356" t="inlineStr">
        <is>
          <t>ÖSTERSUND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73078-2021</t>
        </is>
      </c>
      <c r="B357" s="1" t="n">
        <v>44550</v>
      </c>
      <c r="C357" s="1" t="n">
        <v>45172</v>
      </c>
      <c r="D357" t="inlineStr">
        <is>
          <t>JÄMTLANDS LÄN</t>
        </is>
      </c>
      <c r="E357" t="inlineStr">
        <is>
          <t>ÖSTERSUND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73066-2021</t>
        </is>
      </c>
      <c r="B358" s="1" t="n">
        <v>44550</v>
      </c>
      <c r="C358" s="1" t="n">
        <v>45172</v>
      </c>
      <c r="D358" t="inlineStr">
        <is>
          <t>JÄMTLANDS LÄN</t>
        </is>
      </c>
      <c r="E358" t="inlineStr">
        <is>
          <t>ÖSTERSUND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73870-2021</t>
        </is>
      </c>
      <c r="B359" s="1" t="n">
        <v>44553</v>
      </c>
      <c r="C359" s="1" t="n">
        <v>45172</v>
      </c>
      <c r="D359" t="inlineStr">
        <is>
          <t>JÄMTLANDS LÄN</t>
        </is>
      </c>
      <c r="E359" t="inlineStr">
        <is>
          <t>ÖSTERSUND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154-2022</t>
        </is>
      </c>
      <c r="B360" s="1" t="n">
        <v>44561</v>
      </c>
      <c r="C360" s="1" t="n">
        <v>45172</v>
      </c>
      <c r="D360" t="inlineStr">
        <is>
          <t>JÄMTLANDS LÄN</t>
        </is>
      </c>
      <c r="E360" t="inlineStr">
        <is>
          <t>ÖSTERSUND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681-2022</t>
        </is>
      </c>
      <c r="B361" s="1" t="n">
        <v>44566</v>
      </c>
      <c r="C361" s="1" t="n">
        <v>45172</v>
      </c>
      <c r="D361" t="inlineStr">
        <is>
          <t>JÄMTLANDS LÄN</t>
        </is>
      </c>
      <c r="E361" t="inlineStr">
        <is>
          <t>ÖSTERSUND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695-2022</t>
        </is>
      </c>
      <c r="B362" s="1" t="n">
        <v>44566</v>
      </c>
      <c r="C362" s="1" t="n">
        <v>45172</v>
      </c>
      <c r="D362" t="inlineStr">
        <is>
          <t>JÄMTLANDS LÄN</t>
        </is>
      </c>
      <c r="E362" t="inlineStr">
        <is>
          <t>ÖSTERSUND</t>
        </is>
      </c>
      <c r="G362" t="n">
        <v>14.9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2431-2022</t>
        </is>
      </c>
      <c r="B363" s="1" t="n">
        <v>44579</v>
      </c>
      <c r="C363" s="1" t="n">
        <v>45172</v>
      </c>
      <c r="D363" t="inlineStr">
        <is>
          <t>JÄMTLANDS LÄN</t>
        </is>
      </c>
      <c r="E363" t="inlineStr">
        <is>
          <t>ÖSTERSUND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2763-2022</t>
        </is>
      </c>
      <c r="B364" s="1" t="n">
        <v>44580</v>
      </c>
      <c r="C364" s="1" t="n">
        <v>45172</v>
      </c>
      <c r="D364" t="inlineStr">
        <is>
          <t>JÄMTLANDS LÄN</t>
        </is>
      </c>
      <c r="E364" t="inlineStr">
        <is>
          <t>ÖSTERSUND</t>
        </is>
      </c>
      <c r="F364" t="inlineStr">
        <is>
          <t>SCA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2880-2022</t>
        </is>
      </c>
      <c r="B365" s="1" t="n">
        <v>44581</v>
      </c>
      <c r="C365" s="1" t="n">
        <v>45172</v>
      </c>
      <c r="D365" t="inlineStr">
        <is>
          <t>JÄMTLANDS LÄN</t>
        </is>
      </c>
      <c r="E365" t="inlineStr">
        <is>
          <t>ÖSTERSUND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3410-2022</t>
        </is>
      </c>
      <c r="B366" s="1" t="n">
        <v>44585</v>
      </c>
      <c r="C366" s="1" t="n">
        <v>45172</v>
      </c>
      <c r="D366" t="inlineStr">
        <is>
          <t>JÄMTLANDS LÄN</t>
        </is>
      </c>
      <c r="E366" t="inlineStr">
        <is>
          <t>ÖSTERSUND</t>
        </is>
      </c>
      <c r="G366" t="n">
        <v>10.2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5145-2022</t>
        </is>
      </c>
      <c r="B367" s="1" t="n">
        <v>44594</v>
      </c>
      <c r="C367" s="1" t="n">
        <v>45172</v>
      </c>
      <c r="D367" t="inlineStr">
        <is>
          <t>JÄMTLANDS LÄN</t>
        </is>
      </c>
      <c r="E367" t="inlineStr">
        <is>
          <t>ÖSTERSUND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5670-2022</t>
        </is>
      </c>
      <c r="B368" s="1" t="n">
        <v>44595</v>
      </c>
      <c r="C368" s="1" t="n">
        <v>45172</v>
      </c>
      <c r="D368" t="inlineStr">
        <is>
          <t>JÄMTLANDS LÄN</t>
        </is>
      </c>
      <c r="E368" t="inlineStr">
        <is>
          <t>ÖSTERSUND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7573-2022</t>
        </is>
      </c>
      <c r="B369" s="1" t="n">
        <v>44607</v>
      </c>
      <c r="C369" s="1" t="n">
        <v>45172</v>
      </c>
      <c r="D369" t="inlineStr">
        <is>
          <t>JÄMTLANDS LÄN</t>
        </is>
      </c>
      <c r="E369" t="inlineStr">
        <is>
          <t>ÖSTERSUND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8027-2022</t>
        </is>
      </c>
      <c r="B370" s="1" t="n">
        <v>44609</v>
      </c>
      <c r="C370" s="1" t="n">
        <v>45172</v>
      </c>
      <c r="D370" t="inlineStr">
        <is>
          <t>JÄMTLANDS LÄN</t>
        </is>
      </c>
      <c r="E370" t="inlineStr">
        <is>
          <t>ÖSTERSUND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8647-2022</t>
        </is>
      </c>
      <c r="B371" s="1" t="n">
        <v>44613</v>
      </c>
      <c r="C371" s="1" t="n">
        <v>45172</v>
      </c>
      <c r="D371" t="inlineStr">
        <is>
          <t>JÄMTLANDS LÄN</t>
        </is>
      </c>
      <c r="E371" t="inlineStr">
        <is>
          <t>ÖSTERSUND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11933-2022</t>
        </is>
      </c>
      <c r="B372" s="1" t="n">
        <v>44635</v>
      </c>
      <c r="C372" s="1" t="n">
        <v>45172</v>
      </c>
      <c r="D372" t="inlineStr">
        <is>
          <t>JÄMTLANDS LÄN</t>
        </is>
      </c>
      <c r="E372" t="inlineStr">
        <is>
          <t>ÖSTERSUND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12285-2022</t>
        </is>
      </c>
      <c r="B373" s="1" t="n">
        <v>44637</v>
      </c>
      <c r="C373" s="1" t="n">
        <v>45172</v>
      </c>
      <c r="D373" t="inlineStr">
        <is>
          <t>JÄMTLANDS LÄN</t>
        </is>
      </c>
      <c r="E373" t="inlineStr">
        <is>
          <t>ÖSTERSUND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12286-2022</t>
        </is>
      </c>
      <c r="B374" s="1" t="n">
        <v>44637</v>
      </c>
      <c r="C374" s="1" t="n">
        <v>45172</v>
      </c>
      <c r="D374" t="inlineStr">
        <is>
          <t>JÄMTLANDS LÄN</t>
        </is>
      </c>
      <c r="E374" t="inlineStr">
        <is>
          <t>ÖSTERSUND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13024-2022</t>
        </is>
      </c>
      <c r="B375" s="1" t="n">
        <v>44643</v>
      </c>
      <c r="C375" s="1" t="n">
        <v>45172</v>
      </c>
      <c r="D375" t="inlineStr">
        <is>
          <t>JÄMTLANDS LÄN</t>
        </is>
      </c>
      <c r="E375" t="inlineStr">
        <is>
          <t>ÖSTERSUND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14657-2022</t>
        </is>
      </c>
      <c r="B376" s="1" t="n">
        <v>44655</v>
      </c>
      <c r="C376" s="1" t="n">
        <v>45172</v>
      </c>
      <c r="D376" t="inlineStr">
        <is>
          <t>JÄMTLANDS LÄN</t>
        </is>
      </c>
      <c r="E376" t="inlineStr">
        <is>
          <t>ÖSTERSUND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16013-2022</t>
        </is>
      </c>
      <c r="B377" s="1" t="n">
        <v>44665</v>
      </c>
      <c r="C377" s="1" t="n">
        <v>45172</v>
      </c>
      <c r="D377" t="inlineStr">
        <is>
          <t>JÄMTLANDS LÄN</t>
        </is>
      </c>
      <c r="E377" t="inlineStr">
        <is>
          <t>ÖSTERSUND</t>
        </is>
      </c>
      <c r="G377" t="n">
        <v>10.2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17734-2022</t>
        </is>
      </c>
      <c r="B378" s="1" t="n">
        <v>44680</v>
      </c>
      <c r="C378" s="1" t="n">
        <v>45172</v>
      </c>
      <c r="D378" t="inlineStr">
        <is>
          <t>JÄMTLANDS LÄN</t>
        </is>
      </c>
      <c r="E378" t="inlineStr">
        <is>
          <t>ÖSTERSUND</t>
        </is>
      </c>
      <c r="G378" t="n">
        <v>26.4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19022-2022</t>
        </is>
      </c>
      <c r="B379" s="1" t="n">
        <v>44690</v>
      </c>
      <c r="C379" s="1" t="n">
        <v>45172</v>
      </c>
      <c r="D379" t="inlineStr">
        <is>
          <t>JÄMTLANDS LÄN</t>
        </is>
      </c>
      <c r="E379" t="inlineStr">
        <is>
          <t>ÖSTERSUND</t>
        </is>
      </c>
      <c r="G379" t="n">
        <v>17.9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21495-2022</t>
        </is>
      </c>
      <c r="B380" s="1" t="n">
        <v>44706</v>
      </c>
      <c r="C380" s="1" t="n">
        <v>45172</v>
      </c>
      <c r="D380" t="inlineStr">
        <is>
          <t>JÄMTLANDS LÄN</t>
        </is>
      </c>
      <c r="E380" t="inlineStr">
        <is>
          <t>ÖSTERSUND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22085-2022</t>
        </is>
      </c>
      <c r="B381" s="1" t="n">
        <v>44711</v>
      </c>
      <c r="C381" s="1" t="n">
        <v>45172</v>
      </c>
      <c r="D381" t="inlineStr">
        <is>
          <t>JÄMTLANDS LÄN</t>
        </is>
      </c>
      <c r="E381" t="inlineStr">
        <is>
          <t>ÖSTERSUND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22083-2022</t>
        </is>
      </c>
      <c r="B382" s="1" t="n">
        <v>44711</v>
      </c>
      <c r="C382" s="1" t="n">
        <v>45172</v>
      </c>
      <c r="D382" t="inlineStr">
        <is>
          <t>JÄMTLANDS LÄN</t>
        </is>
      </c>
      <c r="E382" t="inlineStr">
        <is>
          <t>ÖSTERSUND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22084-2022</t>
        </is>
      </c>
      <c r="B383" s="1" t="n">
        <v>44711</v>
      </c>
      <c r="C383" s="1" t="n">
        <v>45172</v>
      </c>
      <c r="D383" t="inlineStr">
        <is>
          <t>JÄMTLANDS LÄN</t>
        </is>
      </c>
      <c r="E383" t="inlineStr">
        <is>
          <t>ÖSTERSUND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23555-2022</t>
        </is>
      </c>
      <c r="B384" s="1" t="n">
        <v>44721</v>
      </c>
      <c r="C384" s="1" t="n">
        <v>45172</v>
      </c>
      <c r="D384" t="inlineStr">
        <is>
          <t>JÄMTLANDS LÄN</t>
        </is>
      </c>
      <c r="E384" t="inlineStr">
        <is>
          <t>ÖSTERSUND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23551-2022</t>
        </is>
      </c>
      <c r="B385" s="1" t="n">
        <v>44721</v>
      </c>
      <c r="C385" s="1" t="n">
        <v>45172</v>
      </c>
      <c r="D385" t="inlineStr">
        <is>
          <t>JÄMTLANDS LÄN</t>
        </is>
      </c>
      <c r="E385" t="inlineStr">
        <is>
          <t>ÖSTERSUND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23992-2022</t>
        </is>
      </c>
      <c r="B386" s="1" t="n">
        <v>44722</v>
      </c>
      <c r="C386" s="1" t="n">
        <v>45172</v>
      </c>
      <c r="D386" t="inlineStr">
        <is>
          <t>JÄMTLANDS LÄN</t>
        </is>
      </c>
      <c r="E386" t="inlineStr">
        <is>
          <t>ÖSTERSUND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26020-2022</t>
        </is>
      </c>
      <c r="B387" s="1" t="n">
        <v>44734</v>
      </c>
      <c r="C387" s="1" t="n">
        <v>45172</v>
      </c>
      <c r="D387" t="inlineStr">
        <is>
          <t>JÄMTLANDS LÄN</t>
        </is>
      </c>
      <c r="E387" t="inlineStr">
        <is>
          <t>ÖSTERSUND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25986-2022</t>
        </is>
      </c>
      <c r="B388" s="1" t="n">
        <v>44734</v>
      </c>
      <c r="C388" s="1" t="n">
        <v>45172</v>
      </c>
      <c r="D388" t="inlineStr">
        <is>
          <t>JÄMTLANDS LÄN</t>
        </is>
      </c>
      <c r="E388" t="inlineStr">
        <is>
          <t>ÖSTERSUND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26321-2022</t>
        </is>
      </c>
      <c r="B389" s="1" t="n">
        <v>44735</v>
      </c>
      <c r="C389" s="1" t="n">
        <v>45172</v>
      </c>
      <c r="D389" t="inlineStr">
        <is>
          <t>JÄMTLANDS LÄN</t>
        </is>
      </c>
      <c r="E389" t="inlineStr">
        <is>
          <t>ÖSTERSUND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27581-2022</t>
        </is>
      </c>
      <c r="B390" s="1" t="n">
        <v>44742</v>
      </c>
      <c r="C390" s="1" t="n">
        <v>45172</v>
      </c>
      <c r="D390" t="inlineStr">
        <is>
          <t>JÄMTLANDS LÄN</t>
        </is>
      </c>
      <c r="E390" t="inlineStr">
        <is>
          <t>ÖSTERSUND</t>
        </is>
      </c>
      <c r="F390" t="inlineStr">
        <is>
          <t>SCA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27343-2022</t>
        </is>
      </c>
      <c r="B391" s="1" t="n">
        <v>44742</v>
      </c>
      <c r="C391" s="1" t="n">
        <v>45172</v>
      </c>
      <c r="D391" t="inlineStr">
        <is>
          <t>JÄMTLANDS LÄN</t>
        </is>
      </c>
      <c r="E391" t="inlineStr">
        <is>
          <t>ÖSTERSUND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27575-2022</t>
        </is>
      </c>
      <c r="B392" s="1" t="n">
        <v>44742</v>
      </c>
      <c r="C392" s="1" t="n">
        <v>45172</v>
      </c>
      <c r="D392" t="inlineStr">
        <is>
          <t>JÄMTLANDS LÄN</t>
        </is>
      </c>
      <c r="E392" t="inlineStr">
        <is>
          <t>ÖSTERSUND</t>
        </is>
      </c>
      <c r="F392" t="inlineStr">
        <is>
          <t>SCA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HYPERLINK("https://klasma.github.io/Logging_OSTERSUND/knärot/A 27575-2022.png")</f>
        <v/>
      </c>
      <c r="V392">
        <f>HYPERLINK("https://klasma.github.io/Logging_OSTERSUND/klagomål/A 27575-2022.docx")</f>
        <v/>
      </c>
      <c r="W392">
        <f>HYPERLINK("https://klasma.github.io/Logging_OSTERSUND/klagomålsmail/A 27575-2022.docx")</f>
        <v/>
      </c>
      <c r="X392">
        <f>HYPERLINK("https://klasma.github.io/Logging_OSTERSUND/tillsyn/A 27575-2022.docx")</f>
        <v/>
      </c>
      <c r="Y392">
        <f>HYPERLINK("https://klasma.github.io/Logging_OSTERSUND/tillsynsmail/A 27575-2022.docx")</f>
        <v/>
      </c>
    </row>
    <row r="393" ht="15" customHeight="1">
      <c r="A393" t="inlineStr">
        <is>
          <t>A 27780-2022</t>
        </is>
      </c>
      <c r="B393" s="1" t="n">
        <v>44743</v>
      </c>
      <c r="C393" s="1" t="n">
        <v>45172</v>
      </c>
      <c r="D393" t="inlineStr">
        <is>
          <t>JÄMTLANDS LÄN</t>
        </is>
      </c>
      <c r="E393" t="inlineStr">
        <is>
          <t>ÖSTERSUND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27646-2022</t>
        </is>
      </c>
      <c r="B394" s="1" t="n">
        <v>44743</v>
      </c>
      <c r="C394" s="1" t="n">
        <v>45172</v>
      </c>
      <c r="D394" t="inlineStr">
        <is>
          <t>JÄMTLANDS LÄN</t>
        </is>
      </c>
      <c r="E394" t="inlineStr">
        <is>
          <t>ÖSTERSUND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27670-2022</t>
        </is>
      </c>
      <c r="B395" s="1" t="n">
        <v>44743</v>
      </c>
      <c r="C395" s="1" t="n">
        <v>45172</v>
      </c>
      <c r="D395" t="inlineStr">
        <is>
          <t>JÄMTLANDS LÄN</t>
        </is>
      </c>
      <c r="E395" t="inlineStr">
        <is>
          <t>ÖSTERSUND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29094-2022</t>
        </is>
      </c>
      <c r="B396" s="1" t="n">
        <v>44750</v>
      </c>
      <c r="C396" s="1" t="n">
        <v>45172</v>
      </c>
      <c r="D396" t="inlineStr">
        <is>
          <t>JÄMTLANDS LÄN</t>
        </is>
      </c>
      <c r="E396" t="inlineStr">
        <is>
          <t>ÖSTERSUND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29128-2022</t>
        </is>
      </c>
      <c r="B397" s="1" t="n">
        <v>44750</v>
      </c>
      <c r="C397" s="1" t="n">
        <v>45172</v>
      </c>
      <c r="D397" t="inlineStr">
        <is>
          <t>JÄMTLANDS LÄN</t>
        </is>
      </c>
      <c r="E397" t="inlineStr">
        <is>
          <t>ÖSTERSUND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29829-2022</t>
        </is>
      </c>
      <c r="B398" s="1" t="n">
        <v>44755</v>
      </c>
      <c r="C398" s="1" t="n">
        <v>45172</v>
      </c>
      <c r="D398" t="inlineStr">
        <is>
          <t>JÄMTLANDS LÄN</t>
        </is>
      </c>
      <c r="E398" t="inlineStr">
        <is>
          <t>ÖSTERSUND</t>
        </is>
      </c>
      <c r="F398" t="inlineStr">
        <is>
          <t>SCA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29828-2022</t>
        </is>
      </c>
      <c r="B399" s="1" t="n">
        <v>44755</v>
      </c>
      <c r="C399" s="1" t="n">
        <v>45172</v>
      </c>
      <c r="D399" t="inlineStr">
        <is>
          <t>JÄMTLANDS LÄN</t>
        </is>
      </c>
      <c r="E399" t="inlineStr">
        <is>
          <t>ÖSTERSUND</t>
        </is>
      </c>
      <c r="F399" t="inlineStr">
        <is>
          <t>SCA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33808-2022</t>
        </is>
      </c>
      <c r="B400" s="1" t="n">
        <v>44790</v>
      </c>
      <c r="C400" s="1" t="n">
        <v>45172</v>
      </c>
      <c r="D400" t="inlineStr">
        <is>
          <t>JÄMTLANDS LÄN</t>
        </is>
      </c>
      <c r="E400" t="inlineStr">
        <is>
          <t>ÖSTERSUND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33813-2022</t>
        </is>
      </c>
      <c r="B401" s="1" t="n">
        <v>44790</v>
      </c>
      <c r="C401" s="1" t="n">
        <v>45172</v>
      </c>
      <c r="D401" t="inlineStr">
        <is>
          <t>JÄMTLANDS LÄN</t>
        </is>
      </c>
      <c r="E401" t="inlineStr">
        <is>
          <t>ÖSTERSUND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33786-2022</t>
        </is>
      </c>
      <c r="B402" s="1" t="n">
        <v>44790</v>
      </c>
      <c r="C402" s="1" t="n">
        <v>45172</v>
      </c>
      <c r="D402" t="inlineStr">
        <is>
          <t>JÄMTLANDS LÄN</t>
        </is>
      </c>
      <c r="E402" t="inlineStr">
        <is>
          <t>ÖSTERSUND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33804-2022</t>
        </is>
      </c>
      <c r="B403" s="1" t="n">
        <v>44790</v>
      </c>
      <c r="C403" s="1" t="n">
        <v>45172</v>
      </c>
      <c r="D403" t="inlineStr">
        <is>
          <t>JÄMTLANDS LÄN</t>
        </is>
      </c>
      <c r="E403" t="inlineStr">
        <is>
          <t>ÖSTERSUND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33801-2022</t>
        </is>
      </c>
      <c r="B404" s="1" t="n">
        <v>44790</v>
      </c>
      <c r="C404" s="1" t="n">
        <v>45172</v>
      </c>
      <c r="D404" t="inlineStr">
        <is>
          <t>JÄMTLANDS LÄN</t>
        </is>
      </c>
      <c r="E404" t="inlineStr">
        <is>
          <t>ÖSTERSUND</t>
        </is>
      </c>
      <c r="G404" t="n">
        <v>7.6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35556-2022</t>
        </is>
      </c>
      <c r="B405" s="1" t="n">
        <v>44799</v>
      </c>
      <c r="C405" s="1" t="n">
        <v>45172</v>
      </c>
      <c r="D405" t="inlineStr">
        <is>
          <t>JÄMTLANDS LÄN</t>
        </is>
      </c>
      <c r="E405" t="inlineStr">
        <is>
          <t>ÖSTERSUND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39828-2022</t>
        </is>
      </c>
      <c r="B406" s="1" t="n">
        <v>44817</v>
      </c>
      <c r="C406" s="1" t="n">
        <v>45172</v>
      </c>
      <c r="D406" t="inlineStr">
        <is>
          <t>JÄMTLANDS LÄN</t>
        </is>
      </c>
      <c r="E406" t="inlineStr">
        <is>
          <t>ÖSTERSUND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40885-2022</t>
        </is>
      </c>
      <c r="B407" s="1" t="n">
        <v>44820</v>
      </c>
      <c r="C407" s="1" t="n">
        <v>45172</v>
      </c>
      <c r="D407" t="inlineStr">
        <is>
          <t>JÄMTLANDS LÄN</t>
        </is>
      </c>
      <c r="E407" t="inlineStr">
        <is>
          <t>ÖSTERSUND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43947-2022</t>
        </is>
      </c>
      <c r="B408" s="1" t="n">
        <v>44838</v>
      </c>
      <c r="C408" s="1" t="n">
        <v>45172</v>
      </c>
      <c r="D408" t="inlineStr">
        <is>
          <t>JÄMTLANDS LÄN</t>
        </is>
      </c>
      <c r="E408" t="inlineStr">
        <is>
          <t>ÖSTERSUND</t>
        </is>
      </c>
      <c r="F408" t="inlineStr">
        <is>
          <t>Övriga Aktiebolag</t>
        </is>
      </c>
      <c r="G408" t="n">
        <v>15.7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43951-2022</t>
        </is>
      </c>
      <c r="B409" s="1" t="n">
        <v>44838</v>
      </c>
      <c r="C409" s="1" t="n">
        <v>45172</v>
      </c>
      <c r="D409" t="inlineStr">
        <is>
          <t>JÄMTLANDS LÄN</t>
        </is>
      </c>
      <c r="E409" t="inlineStr">
        <is>
          <t>ÖSTERSUND</t>
        </is>
      </c>
      <c r="F409" t="inlineStr">
        <is>
          <t>Övriga Aktiebolag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43935-2022</t>
        </is>
      </c>
      <c r="B410" s="1" t="n">
        <v>44838</v>
      </c>
      <c r="C410" s="1" t="n">
        <v>45172</v>
      </c>
      <c r="D410" t="inlineStr">
        <is>
          <t>JÄMTLANDS LÄN</t>
        </is>
      </c>
      <c r="E410" t="inlineStr">
        <is>
          <t>ÖSTERSUND</t>
        </is>
      </c>
      <c r="F410" t="inlineStr">
        <is>
          <t>Övriga Aktiebolag</t>
        </is>
      </c>
      <c r="G410" t="n">
        <v>19.2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45004-2022</t>
        </is>
      </c>
      <c r="B411" s="1" t="n">
        <v>44840</v>
      </c>
      <c r="C411" s="1" t="n">
        <v>45172</v>
      </c>
      <c r="D411" t="inlineStr">
        <is>
          <t>JÄMTLANDS LÄN</t>
        </is>
      </c>
      <c r="E411" t="inlineStr">
        <is>
          <t>ÖSTERSUND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44909-2022</t>
        </is>
      </c>
      <c r="B412" s="1" t="n">
        <v>44840</v>
      </c>
      <c r="C412" s="1" t="n">
        <v>45172</v>
      </c>
      <c r="D412" t="inlineStr">
        <is>
          <t>JÄMTLANDS LÄN</t>
        </is>
      </c>
      <c r="E412" t="inlineStr">
        <is>
          <t>ÖSTERSUND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44999-2022</t>
        </is>
      </c>
      <c r="B413" s="1" t="n">
        <v>44840</v>
      </c>
      <c r="C413" s="1" t="n">
        <v>45172</v>
      </c>
      <c r="D413" t="inlineStr">
        <is>
          <t>JÄMTLANDS LÄN</t>
        </is>
      </c>
      <c r="E413" t="inlineStr">
        <is>
          <t>ÖSTERSUND</t>
        </is>
      </c>
      <c r="G413" t="n">
        <v>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46913-2022</t>
        </is>
      </c>
      <c r="B414" s="1" t="n">
        <v>44851</v>
      </c>
      <c r="C414" s="1" t="n">
        <v>45172</v>
      </c>
      <c r="D414" t="inlineStr">
        <is>
          <t>JÄMTLANDS LÄN</t>
        </is>
      </c>
      <c r="E414" t="inlineStr">
        <is>
          <t>ÖSTERSUND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47295-2022</t>
        </is>
      </c>
      <c r="B415" s="1" t="n">
        <v>44852</v>
      </c>
      <c r="C415" s="1" t="n">
        <v>45172</v>
      </c>
      <c r="D415" t="inlineStr">
        <is>
          <t>JÄMTLANDS LÄN</t>
        </is>
      </c>
      <c r="E415" t="inlineStr">
        <is>
          <t>ÖSTERSUND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47294-2022</t>
        </is>
      </c>
      <c r="B416" s="1" t="n">
        <v>44852</v>
      </c>
      <c r="C416" s="1" t="n">
        <v>45172</v>
      </c>
      <c r="D416" t="inlineStr">
        <is>
          <t>JÄMTLANDS LÄN</t>
        </is>
      </c>
      <c r="E416" t="inlineStr">
        <is>
          <t>ÖSTERSUND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49389-2022</t>
        </is>
      </c>
      <c r="B417" s="1" t="n">
        <v>44861</v>
      </c>
      <c r="C417" s="1" t="n">
        <v>45172</v>
      </c>
      <c r="D417" t="inlineStr">
        <is>
          <t>JÄMTLANDS LÄN</t>
        </is>
      </c>
      <c r="E417" t="inlineStr">
        <is>
          <t>ÖSTERSUND</t>
        </is>
      </c>
      <c r="F417" t="inlineStr">
        <is>
          <t>Övriga Aktiebolag</t>
        </is>
      </c>
      <c r="G417" t="n">
        <v>19.2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51164-2022</t>
        </is>
      </c>
      <c r="B418" s="1" t="n">
        <v>44868</v>
      </c>
      <c r="C418" s="1" t="n">
        <v>45172</v>
      </c>
      <c r="D418" t="inlineStr">
        <is>
          <t>JÄMTLANDS LÄN</t>
        </is>
      </c>
      <c r="E418" t="inlineStr">
        <is>
          <t>ÖSTERSUND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51755-2022</t>
        </is>
      </c>
      <c r="B419" s="1" t="n">
        <v>44872</v>
      </c>
      <c r="C419" s="1" t="n">
        <v>45172</v>
      </c>
      <c r="D419" t="inlineStr">
        <is>
          <t>JÄMTLANDS LÄN</t>
        </is>
      </c>
      <c r="E419" t="inlineStr">
        <is>
          <t>ÖSTERSUND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52898-2022</t>
        </is>
      </c>
      <c r="B420" s="1" t="n">
        <v>44875</v>
      </c>
      <c r="C420" s="1" t="n">
        <v>45172</v>
      </c>
      <c r="D420" t="inlineStr">
        <is>
          <t>JÄMTLANDS LÄN</t>
        </is>
      </c>
      <c r="E420" t="inlineStr">
        <is>
          <t>ÖSTERSUND</t>
        </is>
      </c>
      <c r="F420" t="inlineStr">
        <is>
          <t>Övriga Aktiebolag</t>
        </is>
      </c>
      <c r="G420" t="n">
        <v>12.1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53764-2022</t>
        </is>
      </c>
      <c r="B421" s="1" t="n">
        <v>44875</v>
      </c>
      <c r="C421" s="1" t="n">
        <v>45172</v>
      </c>
      <c r="D421" t="inlineStr">
        <is>
          <t>JÄMTLANDS LÄN</t>
        </is>
      </c>
      <c r="E421" t="inlineStr">
        <is>
          <t>ÖSTERSUND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53802-2022</t>
        </is>
      </c>
      <c r="B422" s="1" t="n">
        <v>44875</v>
      </c>
      <c r="C422" s="1" t="n">
        <v>45172</v>
      </c>
      <c r="D422" t="inlineStr">
        <is>
          <t>JÄMTLANDS LÄN</t>
        </is>
      </c>
      <c r="E422" t="inlineStr">
        <is>
          <t>ÖSTERSUND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53807-2022</t>
        </is>
      </c>
      <c r="B423" s="1" t="n">
        <v>44875</v>
      </c>
      <c r="C423" s="1" t="n">
        <v>45172</v>
      </c>
      <c r="D423" t="inlineStr">
        <is>
          <t>JÄMTLANDS LÄN</t>
        </is>
      </c>
      <c r="E423" t="inlineStr">
        <is>
          <t>ÖSTERSUND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53714-2022</t>
        </is>
      </c>
      <c r="B424" s="1" t="n">
        <v>44880</v>
      </c>
      <c r="C424" s="1" t="n">
        <v>45172</v>
      </c>
      <c r="D424" t="inlineStr">
        <is>
          <t>JÄMTLANDS LÄN</t>
        </is>
      </c>
      <c r="E424" t="inlineStr">
        <is>
          <t>ÖSTERSUND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54384-2022</t>
        </is>
      </c>
      <c r="B425" s="1" t="n">
        <v>44882</v>
      </c>
      <c r="C425" s="1" t="n">
        <v>45172</v>
      </c>
      <c r="D425" t="inlineStr">
        <is>
          <t>JÄMTLANDS LÄN</t>
        </is>
      </c>
      <c r="E425" t="inlineStr">
        <is>
          <t>ÖSTERSUND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55448-2022</t>
        </is>
      </c>
      <c r="B426" s="1" t="n">
        <v>44887</v>
      </c>
      <c r="C426" s="1" t="n">
        <v>45172</v>
      </c>
      <c r="D426" t="inlineStr">
        <is>
          <t>JÄMTLANDS LÄN</t>
        </is>
      </c>
      <c r="E426" t="inlineStr">
        <is>
          <t>ÖSTERSUND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56111-2022</t>
        </is>
      </c>
      <c r="B427" s="1" t="n">
        <v>44889</v>
      </c>
      <c r="C427" s="1" t="n">
        <v>45172</v>
      </c>
      <c r="D427" t="inlineStr">
        <is>
          <t>JÄMTLANDS LÄN</t>
        </is>
      </c>
      <c r="E427" t="inlineStr">
        <is>
          <t>ÖSTERSUND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57009-2022</t>
        </is>
      </c>
      <c r="B428" s="1" t="n">
        <v>44894</v>
      </c>
      <c r="C428" s="1" t="n">
        <v>45172</v>
      </c>
      <c r="D428" t="inlineStr">
        <is>
          <t>JÄMTLANDS LÄN</t>
        </is>
      </c>
      <c r="E428" t="inlineStr">
        <is>
          <t>ÖSTERSUND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59266-2022</t>
        </is>
      </c>
      <c r="B429" s="1" t="n">
        <v>44904</v>
      </c>
      <c r="C429" s="1" t="n">
        <v>45172</v>
      </c>
      <c r="D429" t="inlineStr">
        <is>
          <t>JÄMTLANDS LÄN</t>
        </is>
      </c>
      <c r="E429" t="inlineStr">
        <is>
          <t>ÖSTERSUND</t>
        </is>
      </c>
      <c r="F429" t="inlineStr">
        <is>
          <t>Övriga Aktiebolag</t>
        </is>
      </c>
      <c r="G429" t="n">
        <v>11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59648-2022</t>
        </is>
      </c>
      <c r="B430" s="1" t="n">
        <v>44907</v>
      </c>
      <c r="C430" s="1" t="n">
        <v>45172</v>
      </c>
      <c r="D430" t="inlineStr">
        <is>
          <t>JÄMTLANDS LÄN</t>
        </is>
      </c>
      <c r="E430" t="inlineStr">
        <is>
          <t>ÖSTERSUND</t>
        </is>
      </c>
      <c r="F430" t="inlineStr">
        <is>
          <t>SCA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60776-2022</t>
        </is>
      </c>
      <c r="B431" s="1" t="n">
        <v>44907</v>
      </c>
      <c r="C431" s="1" t="n">
        <v>45172</v>
      </c>
      <c r="D431" t="inlineStr">
        <is>
          <t>JÄMTLANDS LÄN</t>
        </is>
      </c>
      <c r="E431" t="inlineStr">
        <is>
          <t>ÖSTERSUND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61256-2022</t>
        </is>
      </c>
      <c r="B432" s="1" t="n">
        <v>44909</v>
      </c>
      <c r="C432" s="1" t="n">
        <v>45172</v>
      </c>
      <c r="D432" t="inlineStr">
        <is>
          <t>JÄMTLANDS LÄN</t>
        </is>
      </c>
      <c r="E432" t="inlineStr">
        <is>
          <t>ÖSTERSUND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60430-2022</t>
        </is>
      </c>
      <c r="B433" s="1" t="n">
        <v>44911</v>
      </c>
      <c r="C433" s="1" t="n">
        <v>45172</v>
      </c>
      <c r="D433" t="inlineStr">
        <is>
          <t>JÄMTLANDS LÄN</t>
        </is>
      </c>
      <c r="E433" t="inlineStr">
        <is>
          <t>ÖSTERSUND</t>
        </is>
      </c>
      <c r="F433" t="inlineStr">
        <is>
          <t>Övriga Aktiebolag</t>
        </is>
      </c>
      <c r="G433" t="n">
        <v>24.2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61653-2022</t>
        </is>
      </c>
      <c r="B434" s="1" t="n">
        <v>44916</v>
      </c>
      <c r="C434" s="1" t="n">
        <v>45172</v>
      </c>
      <c r="D434" t="inlineStr">
        <is>
          <t>JÄMTLANDS LÄN</t>
        </is>
      </c>
      <c r="E434" t="inlineStr">
        <is>
          <t>ÖSTERSUND</t>
        </is>
      </c>
      <c r="G434" t="n">
        <v>7.6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62222-2022</t>
        </is>
      </c>
      <c r="B435" s="1" t="n">
        <v>44922</v>
      </c>
      <c r="C435" s="1" t="n">
        <v>45172</v>
      </c>
      <c r="D435" t="inlineStr">
        <is>
          <t>JÄMTLANDS LÄN</t>
        </is>
      </c>
      <c r="E435" t="inlineStr">
        <is>
          <t>ÖSTERSUND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62227-2022</t>
        </is>
      </c>
      <c r="B436" s="1" t="n">
        <v>44922</v>
      </c>
      <c r="C436" s="1" t="n">
        <v>45172</v>
      </c>
      <c r="D436" t="inlineStr">
        <is>
          <t>JÄMTLANDS LÄN</t>
        </is>
      </c>
      <c r="E436" t="inlineStr">
        <is>
          <t>ÖSTERSUND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62225-2022</t>
        </is>
      </c>
      <c r="B437" s="1" t="n">
        <v>44922</v>
      </c>
      <c r="C437" s="1" t="n">
        <v>45172</v>
      </c>
      <c r="D437" t="inlineStr">
        <is>
          <t>JÄMTLANDS LÄN</t>
        </is>
      </c>
      <c r="E437" t="inlineStr">
        <is>
          <t>ÖSTERSUND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296-2023</t>
        </is>
      </c>
      <c r="B438" s="1" t="n">
        <v>44922</v>
      </c>
      <c r="C438" s="1" t="n">
        <v>45172</v>
      </c>
      <c r="D438" t="inlineStr">
        <is>
          <t>JÄMTLANDS LÄN</t>
        </is>
      </c>
      <c r="E438" t="inlineStr">
        <is>
          <t>ÖSTERSUND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55-2023</t>
        </is>
      </c>
      <c r="B439" s="1" t="n">
        <v>44928</v>
      </c>
      <c r="C439" s="1" t="n">
        <v>45172</v>
      </c>
      <c r="D439" t="inlineStr">
        <is>
          <t>JÄMTLANDS LÄN</t>
        </is>
      </c>
      <c r="E439" t="inlineStr">
        <is>
          <t>ÖSTERSUND</t>
        </is>
      </c>
      <c r="G439" t="n">
        <v>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1893-2023</t>
        </is>
      </c>
      <c r="B440" s="1" t="n">
        <v>44937</v>
      </c>
      <c r="C440" s="1" t="n">
        <v>45172</v>
      </c>
      <c r="D440" t="inlineStr">
        <is>
          <t>JÄMTLANDS LÄN</t>
        </is>
      </c>
      <c r="E440" t="inlineStr">
        <is>
          <t>ÖSTERSUND</t>
        </is>
      </c>
      <c r="G440" t="n">
        <v>11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2420-2023</t>
        </is>
      </c>
      <c r="B441" s="1" t="n">
        <v>44943</v>
      </c>
      <c r="C441" s="1" t="n">
        <v>45172</v>
      </c>
      <c r="D441" t="inlineStr">
        <is>
          <t>JÄMTLANDS LÄN</t>
        </is>
      </c>
      <c r="E441" t="inlineStr">
        <is>
          <t>ÖSTERSUND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3749-2023</t>
        </is>
      </c>
      <c r="B442" s="1" t="n">
        <v>44949</v>
      </c>
      <c r="C442" s="1" t="n">
        <v>45172</v>
      </c>
      <c r="D442" t="inlineStr">
        <is>
          <t>JÄMTLANDS LÄN</t>
        </is>
      </c>
      <c r="E442" t="inlineStr">
        <is>
          <t>ÖSTERSUND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3949-2023</t>
        </is>
      </c>
      <c r="B443" s="1" t="n">
        <v>44950</v>
      </c>
      <c r="C443" s="1" t="n">
        <v>45172</v>
      </c>
      <c r="D443" t="inlineStr">
        <is>
          <t>JÄMTLANDS LÄN</t>
        </is>
      </c>
      <c r="E443" t="inlineStr">
        <is>
          <t>ÖSTERSUND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3959-2023</t>
        </is>
      </c>
      <c r="B444" s="1" t="n">
        <v>44950</v>
      </c>
      <c r="C444" s="1" t="n">
        <v>45172</v>
      </c>
      <c r="D444" t="inlineStr">
        <is>
          <t>JÄMTLANDS LÄN</t>
        </is>
      </c>
      <c r="E444" t="inlineStr">
        <is>
          <t>ÖSTERSUND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4136-2023</t>
        </is>
      </c>
      <c r="B445" s="1" t="n">
        <v>44952</v>
      </c>
      <c r="C445" s="1" t="n">
        <v>45172</v>
      </c>
      <c r="D445" t="inlineStr">
        <is>
          <t>JÄMTLANDS LÄN</t>
        </is>
      </c>
      <c r="E445" t="inlineStr">
        <is>
          <t>ÖSTERSUND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4134-2023</t>
        </is>
      </c>
      <c r="B446" s="1" t="n">
        <v>44952</v>
      </c>
      <c r="C446" s="1" t="n">
        <v>45172</v>
      </c>
      <c r="D446" t="inlineStr">
        <is>
          <t>JÄMTLANDS LÄN</t>
        </is>
      </c>
      <c r="E446" t="inlineStr">
        <is>
          <t>ÖSTERSUND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4135-2023</t>
        </is>
      </c>
      <c r="B447" s="1" t="n">
        <v>44952</v>
      </c>
      <c r="C447" s="1" t="n">
        <v>45172</v>
      </c>
      <c r="D447" t="inlineStr">
        <is>
          <t>JÄMTLANDS LÄN</t>
        </is>
      </c>
      <c r="E447" t="inlineStr">
        <is>
          <t>ÖSTERSUND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5197-2023</t>
        </is>
      </c>
      <c r="B448" s="1" t="n">
        <v>44953</v>
      </c>
      <c r="C448" s="1" t="n">
        <v>45172</v>
      </c>
      <c r="D448" t="inlineStr">
        <is>
          <t>JÄMTLANDS LÄN</t>
        </is>
      </c>
      <c r="E448" t="inlineStr">
        <is>
          <t>ÖSTERSUND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5043-2023</t>
        </is>
      </c>
      <c r="B449" s="1" t="n">
        <v>44956</v>
      </c>
      <c r="C449" s="1" t="n">
        <v>45172</v>
      </c>
      <c r="D449" t="inlineStr">
        <is>
          <t>JÄMTLANDS LÄN</t>
        </is>
      </c>
      <c r="E449" t="inlineStr">
        <is>
          <t>ÖSTERSUND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4916-2023</t>
        </is>
      </c>
      <c r="B450" s="1" t="n">
        <v>44956</v>
      </c>
      <c r="C450" s="1" t="n">
        <v>45172</v>
      </c>
      <c r="D450" t="inlineStr">
        <is>
          <t>JÄMTLANDS LÄN</t>
        </is>
      </c>
      <c r="E450" t="inlineStr">
        <is>
          <t>ÖSTERSUND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4872-2023</t>
        </is>
      </c>
      <c r="B451" s="1" t="n">
        <v>44957</v>
      </c>
      <c r="C451" s="1" t="n">
        <v>45172</v>
      </c>
      <c r="D451" t="inlineStr">
        <is>
          <t>JÄMTLANDS LÄN</t>
        </is>
      </c>
      <c r="E451" t="inlineStr">
        <is>
          <t>ÖSTERSUND</t>
        </is>
      </c>
      <c r="G451" t="n">
        <v>10.7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5950-2023</t>
        </is>
      </c>
      <c r="B452" s="1" t="n">
        <v>44963</v>
      </c>
      <c r="C452" s="1" t="n">
        <v>45172</v>
      </c>
      <c r="D452" t="inlineStr">
        <is>
          <t>JÄMTLANDS LÄN</t>
        </is>
      </c>
      <c r="E452" t="inlineStr">
        <is>
          <t>ÖSTERSUND</t>
        </is>
      </c>
      <c r="F452" t="inlineStr">
        <is>
          <t>SCA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6782-2023</t>
        </is>
      </c>
      <c r="B453" s="1" t="n">
        <v>44966</v>
      </c>
      <c r="C453" s="1" t="n">
        <v>45172</v>
      </c>
      <c r="D453" t="inlineStr">
        <is>
          <t>JÄMTLANDS LÄN</t>
        </is>
      </c>
      <c r="E453" t="inlineStr">
        <is>
          <t>ÖSTERSUND</t>
        </is>
      </c>
      <c r="F453" t="inlineStr">
        <is>
          <t>SCA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7983-2023</t>
        </is>
      </c>
      <c r="B454" s="1" t="n">
        <v>44970</v>
      </c>
      <c r="C454" s="1" t="n">
        <v>45172</v>
      </c>
      <c r="D454" t="inlineStr">
        <is>
          <t>JÄMTLANDS LÄN</t>
        </is>
      </c>
      <c r="E454" t="inlineStr">
        <is>
          <t>ÖSTERSUND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7451-2023</t>
        </is>
      </c>
      <c r="B455" s="1" t="n">
        <v>44971</v>
      </c>
      <c r="C455" s="1" t="n">
        <v>45172</v>
      </c>
      <c r="D455" t="inlineStr">
        <is>
          <t>JÄMTLANDS LÄN</t>
        </is>
      </c>
      <c r="E455" t="inlineStr">
        <is>
          <t>ÖSTERSUND</t>
        </is>
      </c>
      <c r="F455" t="inlineStr">
        <is>
          <t>Kommuner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7457-2023</t>
        </is>
      </c>
      <c r="B456" s="1" t="n">
        <v>44971</v>
      </c>
      <c r="C456" s="1" t="n">
        <v>45172</v>
      </c>
      <c r="D456" t="inlineStr">
        <is>
          <t>JÄMTLANDS LÄN</t>
        </is>
      </c>
      <c r="E456" t="inlineStr">
        <is>
          <t>ÖSTERSUND</t>
        </is>
      </c>
      <c r="F456" t="inlineStr">
        <is>
          <t>Kommuner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8223-2023</t>
        </is>
      </c>
      <c r="B457" s="1" t="n">
        <v>44971</v>
      </c>
      <c r="C457" s="1" t="n">
        <v>45172</v>
      </c>
      <c r="D457" t="inlineStr">
        <is>
          <t>JÄMTLANDS LÄN</t>
        </is>
      </c>
      <c r="E457" t="inlineStr">
        <is>
          <t>ÖSTERSUND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8423-2023</t>
        </is>
      </c>
      <c r="B458" s="1" t="n">
        <v>44977</v>
      </c>
      <c r="C458" s="1" t="n">
        <v>45172</v>
      </c>
      <c r="D458" t="inlineStr">
        <is>
          <t>JÄMTLANDS LÄN</t>
        </is>
      </c>
      <c r="E458" t="inlineStr">
        <is>
          <t>ÖSTERSUND</t>
        </is>
      </c>
      <c r="F458" t="inlineStr">
        <is>
          <t>Övriga Aktiebolag</t>
        </is>
      </c>
      <c r="G458" t="n">
        <v>53.1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10305-2023</t>
        </is>
      </c>
      <c r="B459" s="1" t="n">
        <v>44986</v>
      </c>
      <c r="C459" s="1" t="n">
        <v>45172</v>
      </c>
      <c r="D459" t="inlineStr">
        <is>
          <t>JÄMTLANDS LÄN</t>
        </is>
      </c>
      <c r="E459" t="inlineStr">
        <is>
          <t>ÖSTERSUND</t>
        </is>
      </c>
      <c r="F459" t="inlineStr">
        <is>
          <t>SCA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11356-2023</t>
        </is>
      </c>
      <c r="B460" s="1" t="n">
        <v>44993</v>
      </c>
      <c r="C460" s="1" t="n">
        <v>45172</v>
      </c>
      <c r="D460" t="inlineStr">
        <is>
          <t>JÄMTLANDS LÄN</t>
        </is>
      </c>
      <c r="E460" t="inlineStr">
        <is>
          <t>ÖSTERSUND</t>
        </is>
      </c>
      <c r="G460" t="n">
        <v>8.1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12821-2023</t>
        </is>
      </c>
      <c r="B461" s="1" t="n">
        <v>45000</v>
      </c>
      <c r="C461" s="1" t="n">
        <v>45172</v>
      </c>
      <c r="D461" t="inlineStr">
        <is>
          <t>JÄMTLANDS LÄN</t>
        </is>
      </c>
      <c r="E461" t="inlineStr">
        <is>
          <t>ÖSTERSUND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13152-2023</t>
        </is>
      </c>
      <c r="B462" s="1" t="n">
        <v>45002</v>
      </c>
      <c r="C462" s="1" t="n">
        <v>45172</v>
      </c>
      <c r="D462" t="inlineStr">
        <is>
          <t>JÄMTLANDS LÄN</t>
        </is>
      </c>
      <c r="E462" t="inlineStr">
        <is>
          <t>ÖSTERSUND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13148-2023</t>
        </is>
      </c>
      <c r="B463" s="1" t="n">
        <v>45002</v>
      </c>
      <c r="C463" s="1" t="n">
        <v>45172</v>
      </c>
      <c r="D463" t="inlineStr">
        <is>
          <t>JÄMTLANDS LÄN</t>
        </is>
      </c>
      <c r="E463" t="inlineStr">
        <is>
          <t>ÖSTERSUND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13166-2023</t>
        </is>
      </c>
      <c r="B464" s="1" t="n">
        <v>45002</v>
      </c>
      <c r="C464" s="1" t="n">
        <v>45172</v>
      </c>
      <c r="D464" t="inlineStr">
        <is>
          <t>JÄMTLANDS LÄN</t>
        </is>
      </c>
      <c r="E464" t="inlineStr">
        <is>
          <t>ÖSTERSUND</t>
        </is>
      </c>
      <c r="F464" t="inlineStr">
        <is>
          <t>Övriga statliga verk och myndigheter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13282-2023</t>
        </is>
      </c>
      <c r="B465" s="1" t="n">
        <v>45004</v>
      </c>
      <c r="C465" s="1" t="n">
        <v>45172</v>
      </c>
      <c r="D465" t="inlineStr">
        <is>
          <t>JÄMTLANDS LÄN</t>
        </is>
      </c>
      <c r="E465" t="inlineStr">
        <is>
          <t>ÖSTERSUND</t>
        </is>
      </c>
      <c r="G465" t="n">
        <v>28.5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13921-2023</t>
        </is>
      </c>
      <c r="B466" s="1" t="n">
        <v>45008</v>
      </c>
      <c r="C466" s="1" t="n">
        <v>45172</v>
      </c>
      <c r="D466" t="inlineStr">
        <is>
          <t>JÄMTLANDS LÄN</t>
        </is>
      </c>
      <c r="E466" t="inlineStr">
        <is>
          <t>ÖSTERSUND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14518-2023</t>
        </is>
      </c>
      <c r="B467" s="1" t="n">
        <v>45012</v>
      </c>
      <c r="C467" s="1" t="n">
        <v>45172</v>
      </c>
      <c r="D467" t="inlineStr">
        <is>
          <t>JÄMTLANDS LÄN</t>
        </is>
      </c>
      <c r="E467" t="inlineStr">
        <is>
          <t>ÖSTERSUND</t>
        </is>
      </c>
      <c r="G467" t="n">
        <v>14.4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14523-2023</t>
        </is>
      </c>
      <c r="B468" s="1" t="n">
        <v>45012</v>
      </c>
      <c r="C468" s="1" t="n">
        <v>45172</v>
      </c>
      <c r="D468" t="inlineStr">
        <is>
          <t>JÄMTLANDS LÄN</t>
        </is>
      </c>
      <c r="E468" t="inlineStr">
        <is>
          <t>ÖSTERSUND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14520-2023</t>
        </is>
      </c>
      <c r="B469" s="1" t="n">
        <v>45012</v>
      </c>
      <c r="C469" s="1" t="n">
        <v>45172</v>
      </c>
      <c r="D469" t="inlineStr">
        <is>
          <t>JÄMTLANDS LÄN</t>
        </is>
      </c>
      <c r="E469" t="inlineStr">
        <is>
          <t>ÖSTERSUND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15984-2023</t>
        </is>
      </c>
      <c r="B470" s="1" t="n">
        <v>45022</v>
      </c>
      <c r="C470" s="1" t="n">
        <v>45172</v>
      </c>
      <c r="D470" t="inlineStr">
        <is>
          <t>JÄMTLANDS LÄN</t>
        </is>
      </c>
      <c r="E470" t="inlineStr">
        <is>
          <t>ÖSTERSUND</t>
        </is>
      </c>
      <c r="F470" t="inlineStr">
        <is>
          <t>SCA</t>
        </is>
      </c>
      <c r="G470" t="n">
        <v>10.1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16322-2023</t>
        </is>
      </c>
      <c r="B471" s="1" t="n">
        <v>45028</v>
      </c>
      <c r="C471" s="1" t="n">
        <v>45172</v>
      </c>
      <c r="D471" t="inlineStr">
        <is>
          <t>JÄMTLANDS LÄN</t>
        </is>
      </c>
      <c r="E471" t="inlineStr">
        <is>
          <t>ÖSTERSUND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16666-2023</t>
        </is>
      </c>
      <c r="B472" s="1" t="n">
        <v>45028</v>
      </c>
      <c r="C472" s="1" t="n">
        <v>45172</v>
      </c>
      <c r="D472" t="inlineStr">
        <is>
          <t>JÄMTLANDS LÄN</t>
        </is>
      </c>
      <c r="E472" t="inlineStr">
        <is>
          <t>ÖSTERSUND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16682-2023</t>
        </is>
      </c>
      <c r="B473" s="1" t="n">
        <v>45028</v>
      </c>
      <c r="C473" s="1" t="n">
        <v>45172</v>
      </c>
      <c r="D473" t="inlineStr">
        <is>
          <t>JÄMTLANDS LÄN</t>
        </is>
      </c>
      <c r="E473" t="inlineStr">
        <is>
          <t>ÖSTERSUND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17887-2023</t>
        </is>
      </c>
      <c r="B474" s="1" t="n">
        <v>45037</v>
      </c>
      <c r="C474" s="1" t="n">
        <v>45172</v>
      </c>
      <c r="D474" t="inlineStr">
        <is>
          <t>JÄMTLANDS LÄN</t>
        </is>
      </c>
      <c r="E474" t="inlineStr">
        <is>
          <t>ÖSTERSUND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19573-2023</t>
        </is>
      </c>
      <c r="B475" s="1" t="n">
        <v>45049</v>
      </c>
      <c r="C475" s="1" t="n">
        <v>45172</v>
      </c>
      <c r="D475" t="inlineStr">
        <is>
          <t>JÄMTLANDS LÄN</t>
        </is>
      </c>
      <c r="E475" t="inlineStr">
        <is>
          <t>ÖSTERSUND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19750-2023</t>
        </is>
      </c>
      <c r="B476" s="1" t="n">
        <v>45050</v>
      </c>
      <c r="C476" s="1" t="n">
        <v>45172</v>
      </c>
      <c r="D476" t="inlineStr">
        <is>
          <t>JÄMTLANDS LÄN</t>
        </is>
      </c>
      <c r="E476" t="inlineStr">
        <is>
          <t>ÖSTERSUND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20588-2023</t>
        </is>
      </c>
      <c r="B477" s="1" t="n">
        <v>45057</v>
      </c>
      <c r="C477" s="1" t="n">
        <v>45172</v>
      </c>
      <c r="D477" t="inlineStr">
        <is>
          <t>JÄMTLANDS LÄN</t>
        </is>
      </c>
      <c r="E477" t="inlineStr">
        <is>
          <t>ÖSTERSUND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20606-2023</t>
        </is>
      </c>
      <c r="B478" s="1" t="n">
        <v>45057</v>
      </c>
      <c r="C478" s="1" t="n">
        <v>45172</v>
      </c>
      <c r="D478" t="inlineStr">
        <is>
          <t>JÄMTLANDS LÄN</t>
        </is>
      </c>
      <c r="E478" t="inlineStr">
        <is>
          <t>ÖSTERSUND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24515-2023</t>
        </is>
      </c>
      <c r="B479" s="1" t="n">
        <v>45077</v>
      </c>
      <c r="C479" s="1" t="n">
        <v>45172</v>
      </c>
      <c r="D479" t="inlineStr">
        <is>
          <t>JÄMTLANDS LÄN</t>
        </is>
      </c>
      <c r="E479" t="inlineStr">
        <is>
          <t>ÖSTERSUND</t>
        </is>
      </c>
      <c r="G479" t="n">
        <v>27.8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24396-2023</t>
        </is>
      </c>
      <c r="B480" s="1" t="n">
        <v>45082</v>
      </c>
      <c r="C480" s="1" t="n">
        <v>45172</v>
      </c>
      <c r="D480" t="inlineStr">
        <is>
          <t>JÄMTLANDS LÄN</t>
        </is>
      </c>
      <c r="E480" t="inlineStr">
        <is>
          <t>ÖSTERSUND</t>
        </is>
      </c>
      <c r="F480" t="inlineStr">
        <is>
          <t>Kyrkan</t>
        </is>
      </c>
      <c r="G480" t="n">
        <v>9.300000000000001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25727-2023</t>
        </is>
      </c>
      <c r="B481" s="1" t="n">
        <v>45084</v>
      </c>
      <c r="C481" s="1" t="n">
        <v>45172</v>
      </c>
      <c r="D481" t="inlineStr">
        <is>
          <t>JÄMTLANDS LÄN</t>
        </is>
      </c>
      <c r="E481" t="inlineStr">
        <is>
          <t>ÖSTERSUND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25866-2023</t>
        </is>
      </c>
      <c r="B482" s="1" t="n">
        <v>45084</v>
      </c>
      <c r="C482" s="1" t="n">
        <v>45172</v>
      </c>
      <c r="D482" t="inlineStr">
        <is>
          <t>JÄMTLANDS LÄN</t>
        </is>
      </c>
      <c r="E482" t="inlineStr">
        <is>
          <t>ÖSTERSUND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26521-2023</t>
        </is>
      </c>
      <c r="B483" s="1" t="n">
        <v>45089</v>
      </c>
      <c r="C483" s="1" t="n">
        <v>45172</v>
      </c>
      <c r="D483" t="inlineStr">
        <is>
          <t>JÄMTLANDS LÄN</t>
        </is>
      </c>
      <c r="E483" t="inlineStr">
        <is>
          <t>ÖSTERSUND</t>
        </is>
      </c>
      <c r="G483" t="n">
        <v>11.7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25496-2023</t>
        </is>
      </c>
      <c r="B484" s="1" t="n">
        <v>45089</v>
      </c>
      <c r="C484" s="1" t="n">
        <v>45172</v>
      </c>
      <c r="D484" t="inlineStr">
        <is>
          <t>JÄMTLANDS LÄN</t>
        </is>
      </c>
      <c r="E484" t="inlineStr">
        <is>
          <t>ÖSTERSUND</t>
        </is>
      </c>
      <c r="F484" t="inlineStr">
        <is>
          <t>Kyrkan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26565-2023</t>
        </is>
      </c>
      <c r="B485" s="1" t="n">
        <v>45089</v>
      </c>
      <c r="C485" s="1" t="n">
        <v>45172</v>
      </c>
      <c r="D485" t="inlineStr">
        <is>
          <t>JÄMTLANDS LÄN</t>
        </is>
      </c>
      <c r="E485" t="inlineStr">
        <is>
          <t>ÖSTERSUND</t>
        </is>
      </c>
      <c r="G485" t="n">
        <v>5.2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25789-2023</t>
        </is>
      </c>
      <c r="B486" s="1" t="n">
        <v>45090</v>
      </c>
      <c r="C486" s="1" t="n">
        <v>45172</v>
      </c>
      <c r="D486" t="inlineStr">
        <is>
          <t>JÄMTLANDS LÄN</t>
        </is>
      </c>
      <c r="E486" t="inlineStr">
        <is>
          <t>ÖSTERSUND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27294-2023</t>
        </is>
      </c>
      <c r="B487" s="1" t="n">
        <v>45092</v>
      </c>
      <c r="C487" s="1" t="n">
        <v>45172</v>
      </c>
      <c r="D487" t="inlineStr">
        <is>
          <t>JÄMTLANDS LÄN</t>
        </is>
      </c>
      <c r="E487" t="inlineStr">
        <is>
          <t>ÖSTERSUND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27118-2023</t>
        </is>
      </c>
      <c r="B488" s="1" t="n">
        <v>45096</v>
      </c>
      <c r="C488" s="1" t="n">
        <v>45172</v>
      </c>
      <c r="D488" t="inlineStr">
        <is>
          <t>JÄMTLANDS LÄN</t>
        </is>
      </c>
      <c r="E488" t="inlineStr">
        <is>
          <t>ÖSTERSUND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27124-2023</t>
        </is>
      </c>
      <c r="B489" s="1" t="n">
        <v>45096</v>
      </c>
      <c r="C489" s="1" t="n">
        <v>45172</v>
      </c>
      <c r="D489" t="inlineStr">
        <is>
          <t>JÄMTLANDS LÄN</t>
        </is>
      </c>
      <c r="E489" t="inlineStr">
        <is>
          <t>ÖSTERSUND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27130-2023</t>
        </is>
      </c>
      <c r="B490" s="1" t="n">
        <v>45096</v>
      </c>
      <c r="C490" s="1" t="n">
        <v>45172</v>
      </c>
      <c r="D490" t="inlineStr">
        <is>
          <t>JÄMTLANDS LÄN</t>
        </is>
      </c>
      <c r="E490" t="inlineStr">
        <is>
          <t>ÖSTERSUND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29548-2023</t>
        </is>
      </c>
      <c r="B491" s="1" t="n">
        <v>45098</v>
      </c>
      <c r="C491" s="1" t="n">
        <v>45172</v>
      </c>
      <c r="D491" t="inlineStr">
        <is>
          <t>JÄMTLANDS LÄN</t>
        </is>
      </c>
      <c r="E491" t="inlineStr">
        <is>
          <t>ÖSTERSUND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30255-2023</t>
        </is>
      </c>
      <c r="B492" s="1" t="n">
        <v>45099</v>
      </c>
      <c r="C492" s="1" t="n">
        <v>45172</v>
      </c>
      <c r="D492" t="inlineStr">
        <is>
          <t>JÄMTLANDS LÄN</t>
        </is>
      </c>
      <c r="E492" t="inlineStr">
        <is>
          <t>ÖSTERSUND</t>
        </is>
      </c>
      <c r="G492" t="n">
        <v>20.2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30264-2023</t>
        </is>
      </c>
      <c r="B493" s="1" t="n">
        <v>45099</v>
      </c>
      <c r="C493" s="1" t="n">
        <v>45172</v>
      </c>
      <c r="D493" t="inlineStr">
        <is>
          <t>JÄMTLANDS LÄN</t>
        </is>
      </c>
      <c r="E493" t="inlineStr">
        <is>
          <t>ÖSTERSUND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30206-2023</t>
        </is>
      </c>
      <c r="B494" s="1" t="n">
        <v>45099</v>
      </c>
      <c r="C494" s="1" t="n">
        <v>45172</v>
      </c>
      <c r="D494" t="inlineStr">
        <is>
          <t>JÄMTLANDS LÄN</t>
        </is>
      </c>
      <c r="E494" t="inlineStr">
        <is>
          <t>ÖSTERSUND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30236-2023</t>
        </is>
      </c>
      <c r="B495" s="1" t="n">
        <v>45099</v>
      </c>
      <c r="C495" s="1" t="n">
        <v>45172</v>
      </c>
      <c r="D495" t="inlineStr">
        <is>
          <t>JÄMTLANDS LÄN</t>
        </is>
      </c>
      <c r="E495" t="inlineStr">
        <is>
          <t>ÖSTERSUND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30262-2023</t>
        </is>
      </c>
      <c r="B496" s="1" t="n">
        <v>45099</v>
      </c>
      <c r="C496" s="1" t="n">
        <v>45172</v>
      </c>
      <c r="D496" t="inlineStr">
        <is>
          <t>JÄMTLANDS LÄN</t>
        </is>
      </c>
      <c r="E496" t="inlineStr">
        <is>
          <t>ÖSTERSUND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30244-2023</t>
        </is>
      </c>
      <c r="B497" s="1" t="n">
        <v>45099</v>
      </c>
      <c r="C497" s="1" t="n">
        <v>45172</v>
      </c>
      <c r="D497" t="inlineStr">
        <is>
          <t>JÄMTLANDS LÄN</t>
        </is>
      </c>
      <c r="E497" t="inlineStr">
        <is>
          <t>ÖSTERSUND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28747-2023</t>
        </is>
      </c>
      <c r="B498" s="1" t="n">
        <v>45103</v>
      </c>
      <c r="C498" s="1" t="n">
        <v>45172</v>
      </c>
      <c r="D498" t="inlineStr">
        <is>
          <t>JÄMTLANDS LÄN</t>
        </is>
      </c>
      <c r="E498" t="inlineStr">
        <is>
          <t>ÖSTERSUND</t>
        </is>
      </c>
      <c r="F498" t="inlineStr">
        <is>
          <t>SCA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31870-2023</t>
        </is>
      </c>
      <c r="B499" s="1" t="n">
        <v>45106</v>
      </c>
      <c r="C499" s="1" t="n">
        <v>45172</v>
      </c>
      <c r="D499" t="inlineStr">
        <is>
          <t>JÄMTLANDS LÄN</t>
        </is>
      </c>
      <c r="E499" t="inlineStr">
        <is>
          <t>ÖSTERSUND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29682-2023</t>
        </is>
      </c>
      <c r="B500" s="1" t="n">
        <v>45107</v>
      </c>
      <c r="C500" s="1" t="n">
        <v>45172</v>
      </c>
      <c r="D500" t="inlineStr">
        <is>
          <t>JÄMTLANDS LÄN</t>
        </is>
      </c>
      <c r="E500" t="inlineStr">
        <is>
          <t>ÖSTERSUND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29703-2023</t>
        </is>
      </c>
      <c r="B501" s="1" t="n">
        <v>45107</v>
      </c>
      <c r="C501" s="1" t="n">
        <v>45172</v>
      </c>
      <c r="D501" t="inlineStr">
        <is>
          <t>JÄMTLANDS LÄN</t>
        </is>
      </c>
      <c r="E501" t="inlineStr">
        <is>
          <t>ÖSTERSUND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30602-2023</t>
        </is>
      </c>
      <c r="B502" s="1" t="n">
        <v>45112</v>
      </c>
      <c r="C502" s="1" t="n">
        <v>45172</v>
      </c>
      <c r="D502" t="inlineStr">
        <is>
          <t>JÄMTLANDS LÄN</t>
        </is>
      </c>
      <c r="E502" t="inlineStr">
        <is>
          <t>ÖSTERSUND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31549-2023</t>
        </is>
      </c>
      <c r="B503" s="1" t="n">
        <v>45117</v>
      </c>
      <c r="C503" s="1" t="n">
        <v>45172</v>
      </c>
      <c r="D503" t="inlineStr">
        <is>
          <t>JÄMTLANDS LÄN</t>
        </is>
      </c>
      <c r="E503" t="inlineStr">
        <is>
          <t>ÖSTERSUND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33502-2023</t>
        </is>
      </c>
      <c r="B504" s="1" t="n">
        <v>45118</v>
      </c>
      <c r="C504" s="1" t="n">
        <v>45172</v>
      </c>
      <c r="D504" t="inlineStr">
        <is>
          <t>JÄMTLANDS LÄN</t>
        </is>
      </c>
      <c r="E504" t="inlineStr">
        <is>
          <t>ÖSTERSUND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33501-2023</t>
        </is>
      </c>
      <c r="B505" s="1" t="n">
        <v>45118</v>
      </c>
      <c r="C505" s="1" t="n">
        <v>45172</v>
      </c>
      <c r="D505" t="inlineStr">
        <is>
          <t>JÄMTLANDS LÄN</t>
        </is>
      </c>
      <c r="E505" t="inlineStr">
        <is>
          <t>ÖSTERSUND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32568-2023</t>
        </is>
      </c>
      <c r="B506" s="1" t="n">
        <v>45121</v>
      </c>
      <c r="C506" s="1" t="n">
        <v>45172</v>
      </c>
      <c r="D506" t="inlineStr">
        <is>
          <t>JÄMTLANDS LÄN</t>
        </is>
      </c>
      <c r="E506" t="inlineStr">
        <is>
          <t>ÖSTERSUND</t>
        </is>
      </c>
      <c r="G506" t="n">
        <v>14.9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34052-2023</t>
        </is>
      </c>
      <c r="B507" s="1" t="n">
        <v>45125</v>
      </c>
      <c r="C507" s="1" t="n">
        <v>45172</v>
      </c>
      <c r="D507" t="inlineStr">
        <is>
          <t>JÄMTLANDS LÄN</t>
        </is>
      </c>
      <c r="E507" t="inlineStr">
        <is>
          <t>ÖSTERSUND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36406-2023</t>
        </is>
      </c>
      <c r="B508" s="1" t="n">
        <v>45149</v>
      </c>
      <c r="C508" s="1" t="n">
        <v>45172</v>
      </c>
      <c r="D508" t="inlineStr">
        <is>
          <t>JÄMTLANDS LÄN</t>
        </is>
      </c>
      <c r="E508" t="inlineStr">
        <is>
          <t>ÖSTERSUND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37140-2023</t>
        </is>
      </c>
      <c r="B509" s="1" t="n">
        <v>45154</v>
      </c>
      <c r="C509" s="1" t="n">
        <v>45172</v>
      </c>
      <c r="D509" t="inlineStr">
        <is>
          <t>JÄMTLANDS LÄN</t>
        </is>
      </c>
      <c r="E509" t="inlineStr">
        <is>
          <t>ÖSTERSUND</t>
        </is>
      </c>
      <c r="F509" t="inlineStr">
        <is>
          <t>Övriga Aktiebolag</t>
        </is>
      </c>
      <c r="G509" t="n">
        <v>13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37645-2023</t>
        </is>
      </c>
      <c r="B510" s="1" t="n">
        <v>45159</v>
      </c>
      <c r="C510" s="1" t="n">
        <v>45172</v>
      </c>
      <c r="D510" t="inlineStr">
        <is>
          <t>JÄMTLANDS LÄN</t>
        </is>
      </c>
      <c r="E510" t="inlineStr">
        <is>
          <t>ÖSTERSUND</t>
        </is>
      </c>
      <c r="F510" t="inlineStr">
        <is>
          <t>Övriga Aktiebolag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38335-2023</t>
        </is>
      </c>
      <c r="B511" s="1" t="n">
        <v>45161</v>
      </c>
      <c r="C511" s="1" t="n">
        <v>45172</v>
      </c>
      <c r="D511" t="inlineStr">
        <is>
          <t>JÄMTLANDS LÄN</t>
        </is>
      </c>
      <c r="E511" t="inlineStr">
        <is>
          <t>ÖSTERSUND</t>
        </is>
      </c>
      <c r="G511" t="n">
        <v>15.1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38713-2023</t>
        </is>
      </c>
      <c r="B512" s="1" t="n">
        <v>45163</v>
      </c>
      <c r="C512" s="1" t="n">
        <v>45172</v>
      </c>
      <c r="D512" t="inlineStr">
        <is>
          <t>JÄMTLANDS LÄN</t>
        </is>
      </c>
      <c r="E512" t="inlineStr">
        <is>
          <t>ÖSTERSUND</t>
        </is>
      </c>
      <c r="G512" t="n">
        <v>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39494-2023</t>
        </is>
      </c>
      <c r="B513" s="1" t="n">
        <v>45166</v>
      </c>
      <c r="C513" s="1" t="n">
        <v>45172</v>
      </c>
      <c r="D513" t="inlineStr">
        <is>
          <t>JÄMTLANDS LÄN</t>
        </is>
      </c>
      <c r="E513" t="inlineStr">
        <is>
          <t>ÖSTERSUND</t>
        </is>
      </c>
      <c r="F513" t="inlineStr">
        <is>
          <t>SCA</t>
        </is>
      </c>
      <c r="G513" t="n">
        <v>8.1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40423-2023</t>
        </is>
      </c>
      <c r="B514" s="1" t="n">
        <v>45169</v>
      </c>
      <c r="C514" s="1" t="n">
        <v>45172</v>
      </c>
      <c r="D514" t="inlineStr">
        <is>
          <t>JÄMTLANDS LÄN</t>
        </is>
      </c>
      <c r="E514" t="inlineStr">
        <is>
          <t>ÖSTERSUND</t>
        </is>
      </c>
      <c r="F514" t="inlineStr">
        <is>
          <t>SCA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2023-09-03T04:41:15Z</dcterms:created>
  <dcterms:modified xmlns:dcterms="http://purl.org/dc/terms/" xmlns:xsi="http://www.w3.org/2001/XMLSchema-instance" xsi:type="dcterms:W3CDTF">2023-09-03T04:41:15Z</dcterms:modified>
</cp:coreProperties>
</file>