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45180</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45180</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45180</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45180</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45180</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45180</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45111-2021</t>
        </is>
      </c>
      <c r="B8" s="1" t="n">
        <v>44439</v>
      </c>
      <c r="C8" s="1" t="n">
        <v>45180</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f>
        <v/>
      </c>
      <c r="T8">
        <f>HYPERLINK("https://klasma.github.io/Logging_OSTHAMMAR/kartor/A 45111-2021.png")</f>
        <v/>
      </c>
      <c r="V8">
        <f>HYPERLINK("https://klasma.github.io/Logging_OSTHAMMAR/klagomål/A 45111-2021.docx")</f>
        <v/>
      </c>
      <c r="W8">
        <f>HYPERLINK("https://klasma.github.io/Logging_OSTHAMMAR/klagomålsmail/A 45111-2021.docx")</f>
        <v/>
      </c>
      <c r="X8">
        <f>HYPERLINK("https://klasma.github.io/Logging_OSTHAMMAR/tillsyn/A 45111-2021.docx")</f>
        <v/>
      </c>
      <c r="Y8">
        <f>HYPERLINK("https://klasma.github.io/Logging_OSTHAMMAR/tillsynsmail/A 45111-2021.docx")</f>
        <v/>
      </c>
    </row>
    <row r="9" ht="15" customHeight="1">
      <c r="A9" t="inlineStr">
        <is>
          <t>A 56956-2021</t>
        </is>
      </c>
      <c r="B9" s="1" t="n">
        <v>44482</v>
      </c>
      <c r="C9" s="1" t="n">
        <v>45180</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f>
        <v/>
      </c>
      <c r="T9">
        <f>HYPERLINK("https://klasma.github.io/Logging_OSTHAMMAR/kartor/A 56956-2021.png")</f>
        <v/>
      </c>
      <c r="V9">
        <f>HYPERLINK("https://klasma.github.io/Logging_OSTHAMMAR/klagomål/A 56956-2021.docx")</f>
        <v/>
      </c>
      <c r="W9">
        <f>HYPERLINK("https://klasma.github.io/Logging_OSTHAMMAR/klagomålsmail/A 56956-2021.docx")</f>
        <v/>
      </c>
      <c r="X9">
        <f>HYPERLINK("https://klasma.github.io/Logging_OSTHAMMAR/tillsyn/A 56956-2021.docx")</f>
        <v/>
      </c>
      <c r="Y9">
        <f>HYPERLINK("https://klasma.github.io/Logging_OSTHAMMAR/tillsynsmail/A 56956-2021.docx")</f>
        <v/>
      </c>
    </row>
    <row r="10" ht="15" customHeight="1">
      <c r="A10" t="inlineStr">
        <is>
          <t>A 20233-2022</t>
        </is>
      </c>
      <c r="B10" s="1" t="n">
        <v>44698</v>
      </c>
      <c r="C10" s="1" t="n">
        <v>45180</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f>
        <v/>
      </c>
      <c r="T10">
        <f>HYPERLINK("https://klasma.github.io/Logging_OSTHAMMAR/kartor/A 20233-2022.png")</f>
        <v/>
      </c>
      <c r="V10">
        <f>HYPERLINK("https://klasma.github.io/Logging_OSTHAMMAR/klagomål/A 20233-2022.docx")</f>
        <v/>
      </c>
      <c r="W10">
        <f>HYPERLINK("https://klasma.github.io/Logging_OSTHAMMAR/klagomålsmail/A 20233-2022.docx")</f>
        <v/>
      </c>
      <c r="X10">
        <f>HYPERLINK("https://klasma.github.io/Logging_OSTHAMMAR/tillsyn/A 20233-2022.docx")</f>
        <v/>
      </c>
      <c r="Y10">
        <f>HYPERLINK("https://klasma.github.io/Logging_OSTHAMMAR/tillsynsmail/A 20233-2022.docx")</f>
        <v/>
      </c>
    </row>
    <row r="11" ht="15" customHeight="1">
      <c r="A11" t="inlineStr">
        <is>
          <t>A 31207-2022</t>
        </is>
      </c>
      <c r="B11" s="1" t="n">
        <v>44771</v>
      </c>
      <c r="C11" s="1" t="n">
        <v>45180</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f>
        <v/>
      </c>
      <c r="T11">
        <f>HYPERLINK("https://klasma.github.io/Logging_OSTHAMMAR/kartor/A 31207-2022.png")</f>
        <v/>
      </c>
      <c r="V11">
        <f>HYPERLINK("https://klasma.github.io/Logging_OSTHAMMAR/klagomål/A 31207-2022.docx")</f>
        <v/>
      </c>
      <c r="W11">
        <f>HYPERLINK("https://klasma.github.io/Logging_OSTHAMMAR/klagomålsmail/A 31207-2022.docx")</f>
        <v/>
      </c>
      <c r="X11">
        <f>HYPERLINK("https://klasma.github.io/Logging_OSTHAMMAR/tillsyn/A 31207-2022.docx")</f>
        <v/>
      </c>
      <c r="Y11">
        <f>HYPERLINK("https://klasma.github.io/Logging_OSTHAMMAR/tillsynsmail/A 31207-2022.docx")</f>
        <v/>
      </c>
    </row>
    <row r="12" ht="15" customHeight="1">
      <c r="A12" t="inlineStr">
        <is>
          <t>A 32680-2019</t>
        </is>
      </c>
      <c r="B12" s="1" t="n">
        <v>43647</v>
      </c>
      <c r="C12" s="1" t="n">
        <v>45180</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f>
        <v/>
      </c>
      <c r="T12">
        <f>HYPERLINK("https://klasma.github.io/Logging_OSTHAMMAR/kartor/A 32680-2019.png")</f>
        <v/>
      </c>
      <c r="V12">
        <f>HYPERLINK("https://klasma.github.io/Logging_OSTHAMMAR/klagomål/A 32680-2019.docx")</f>
        <v/>
      </c>
      <c r="W12">
        <f>HYPERLINK("https://klasma.github.io/Logging_OSTHAMMAR/klagomålsmail/A 32680-2019.docx")</f>
        <v/>
      </c>
      <c r="X12">
        <f>HYPERLINK("https://klasma.github.io/Logging_OSTHAMMAR/tillsyn/A 32680-2019.docx")</f>
        <v/>
      </c>
      <c r="Y12">
        <f>HYPERLINK("https://klasma.github.io/Logging_OSTHAMMAR/tillsynsmail/A 32680-2019.docx")</f>
        <v/>
      </c>
    </row>
    <row r="13" ht="15" customHeight="1">
      <c r="A13" t="inlineStr">
        <is>
          <t>A 33708-2022</t>
        </is>
      </c>
      <c r="B13" s="1" t="n">
        <v>44789</v>
      </c>
      <c r="C13" s="1" t="n">
        <v>45180</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f>
        <v/>
      </c>
      <c r="T13">
        <f>HYPERLINK("https://klasma.github.io/Logging_OSTHAMMAR/kartor/A 33708-2022.png")</f>
        <v/>
      </c>
      <c r="V13">
        <f>HYPERLINK("https://klasma.github.io/Logging_OSTHAMMAR/klagomål/A 33708-2022.docx")</f>
        <v/>
      </c>
      <c r="W13">
        <f>HYPERLINK("https://klasma.github.io/Logging_OSTHAMMAR/klagomålsmail/A 33708-2022.docx")</f>
        <v/>
      </c>
      <c r="X13">
        <f>HYPERLINK("https://klasma.github.io/Logging_OSTHAMMAR/tillsyn/A 33708-2022.docx")</f>
        <v/>
      </c>
      <c r="Y13">
        <f>HYPERLINK("https://klasma.github.io/Logging_OSTHAMMAR/tillsynsmail/A 33708-2022.docx")</f>
        <v/>
      </c>
    </row>
    <row r="14" ht="15" customHeight="1">
      <c r="A14" t="inlineStr">
        <is>
          <t>A 19544-2021</t>
        </is>
      </c>
      <c r="B14" s="1" t="n">
        <v>44312</v>
      </c>
      <c r="C14" s="1" t="n">
        <v>45180</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f>
        <v/>
      </c>
      <c r="T14">
        <f>HYPERLINK("https://klasma.github.io/Logging_OSTHAMMAR/kartor/A 19544-2021.png")</f>
        <v/>
      </c>
      <c r="V14">
        <f>HYPERLINK("https://klasma.github.io/Logging_OSTHAMMAR/klagomål/A 19544-2021.docx")</f>
        <v/>
      </c>
      <c r="W14">
        <f>HYPERLINK("https://klasma.github.io/Logging_OSTHAMMAR/klagomålsmail/A 19544-2021.docx")</f>
        <v/>
      </c>
      <c r="X14">
        <f>HYPERLINK("https://klasma.github.io/Logging_OSTHAMMAR/tillsyn/A 19544-2021.docx")</f>
        <v/>
      </c>
      <c r="Y14">
        <f>HYPERLINK("https://klasma.github.io/Logging_OSTHAMMAR/tillsynsmail/A 19544-2021.docx")</f>
        <v/>
      </c>
    </row>
    <row r="15" ht="15" customHeight="1">
      <c r="A15" t="inlineStr">
        <is>
          <t>A 23874-2021</t>
        </is>
      </c>
      <c r="B15" s="1" t="n">
        <v>44335</v>
      </c>
      <c r="C15" s="1" t="n">
        <v>45180</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f>
        <v/>
      </c>
      <c r="T15">
        <f>HYPERLINK("https://klasma.github.io/Logging_OSTHAMMAR/kartor/A 23874-2021.png")</f>
        <v/>
      </c>
      <c r="V15">
        <f>HYPERLINK("https://klasma.github.io/Logging_OSTHAMMAR/klagomål/A 23874-2021.docx")</f>
        <v/>
      </c>
      <c r="W15">
        <f>HYPERLINK("https://klasma.github.io/Logging_OSTHAMMAR/klagomålsmail/A 23874-2021.docx")</f>
        <v/>
      </c>
      <c r="X15">
        <f>HYPERLINK("https://klasma.github.io/Logging_OSTHAMMAR/tillsyn/A 23874-2021.docx")</f>
        <v/>
      </c>
      <c r="Y15">
        <f>HYPERLINK("https://klasma.github.io/Logging_OSTHAMMAR/tillsynsmail/A 23874-2021.docx")</f>
        <v/>
      </c>
    </row>
    <row r="16" ht="15" customHeight="1">
      <c r="A16" t="inlineStr">
        <is>
          <t>A 33087-2020</t>
        </is>
      </c>
      <c r="B16" s="1" t="n">
        <v>44021</v>
      </c>
      <c r="C16" s="1" t="n">
        <v>45180</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f>
        <v/>
      </c>
      <c r="T16">
        <f>HYPERLINK("https://klasma.github.io/Logging_OSTHAMMAR/kartor/A 33087-2020.png")</f>
        <v/>
      </c>
      <c r="U16">
        <f>HYPERLINK("https://klasma.github.io/Logging_OSTHAMMAR/knärot/A 33087-2020.png")</f>
        <v/>
      </c>
      <c r="V16">
        <f>HYPERLINK("https://klasma.github.io/Logging_OSTHAMMAR/klagomål/A 33087-2020.docx")</f>
        <v/>
      </c>
      <c r="W16">
        <f>HYPERLINK("https://klasma.github.io/Logging_OSTHAMMAR/klagomålsmail/A 33087-2020.docx")</f>
        <v/>
      </c>
      <c r="X16">
        <f>HYPERLINK("https://klasma.github.io/Logging_OSTHAMMAR/tillsyn/A 33087-2020.docx")</f>
        <v/>
      </c>
      <c r="Y16">
        <f>HYPERLINK("https://klasma.github.io/Logging_OSTHAMMAR/tillsynsmail/A 33087-2020.docx")</f>
        <v/>
      </c>
    </row>
    <row r="17" ht="15" customHeight="1">
      <c r="A17" t="inlineStr">
        <is>
          <t>A 35911-2021</t>
        </is>
      </c>
      <c r="B17" s="1" t="n">
        <v>44387</v>
      </c>
      <c r="C17" s="1" t="n">
        <v>45180</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f>
        <v/>
      </c>
      <c r="T17">
        <f>HYPERLINK("https://klasma.github.io/Logging_OSTHAMMAR/kartor/A 35911-2021.png")</f>
        <v/>
      </c>
      <c r="V17">
        <f>HYPERLINK("https://klasma.github.io/Logging_OSTHAMMAR/klagomål/A 35911-2021.docx")</f>
        <v/>
      </c>
      <c r="W17">
        <f>HYPERLINK("https://klasma.github.io/Logging_OSTHAMMAR/klagomålsmail/A 35911-2021.docx")</f>
        <v/>
      </c>
      <c r="X17">
        <f>HYPERLINK("https://klasma.github.io/Logging_OSTHAMMAR/tillsyn/A 35911-2021.docx")</f>
        <v/>
      </c>
      <c r="Y17">
        <f>HYPERLINK("https://klasma.github.io/Logging_OSTHAMMAR/tillsynsmail/A 35911-2021.docx")</f>
        <v/>
      </c>
    </row>
    <row r="18" ht="15" customHeight="1">
      <c r="A18" t="inlineStr">
        <is>
          <t>A 23496-2023</t>
        </is>
      </c>
      <c r="B18" s="1" t="n">
        <v>45076</v>
      </c>
      <c r="C18" s="1" t="n">
        <v>45180</v>
      </c>
      <c r="D18" t="inlineStr">
        <is>
          <t>UPPSALA LÄN</t>
        </is>
      </c>
      <c r="E18" t="inlineStr">
        <is>
          <t>ÖSTHAMMAR</t>
        </is>
      </c>
      <c r="F18" t="inlineStr">
        <is>
          <t>Sveaskog</t>
        </is>
      </c>
      <c r="G18" t="n">
        <v>2</v>
      </c>
      <c r="H18" t="n">
        <v>6</v>
      </c>
      <c r="I18" t="n">
        <v>0</v>
      </c>
      <c r="J18" t="n">
        <v>4</v>
      </c>
      <c r="K18" t="n">
        <v>0</v>
      </c>
      <c r="L18" t="n">
        <v>2</v>
      </c>
      <c r="M18" t="n">
        <v>0</v>
      </c>
      <c r="N18" t="n">
        <v>0</v>
      </c>
      <c r="O18" t="n">
        <v>6</v>
      </c>
      <c r="P18" t="n">
        <v>2</v>
      </c>
      <c r="Q18" t="n">
        <v>6</v>
      </c>
      <c r="R18" s="2" t="inlineStr">
        <is>
          <t>Grönfink
Tornseglare
Gulsparv
Svartvit flugsnappare
Sävsparv
Talltita</t>
        </is>
      </c>
      <c r="S18">
        <f>HYPERLINK("https://klasma.github.io/Logging_OSTHAMMAR/artfynd/A 23496-2023.xlsx")</f>
        <v/>
      </c>
      <c r="T18">
        <f>HYPERLINK("https://klasma.github.io/Logging_OSTHAMMAR/kartor/A 23496-2023.png")</f>
        <v/>
      </c>
      <c r="V18">
        <f>HYPERLINK("https://klasma.github.io/Logging_OSTHAMMAR/klagomål/A 23496-2023.docx")</f>
        <v/>
      </c>
      <c r="W18">
        <f>HYPERLINK("https://klasma.github.io/Logging_OSTHAMMAR/klagomålsmail/A 23496-2023.docx")</f>
        <v/>
      </c>
      <c r="X18">
        <f>HYPERLINK("https://klasma.github.io/Logging_OSTHAMMAR/tillsyn/A 23496-2023.docx")</f>
        <v/>
      </c>
      <c r="Y18">
        <f>HYPERLINK("https://klasma.github.io/Logging_OSTHAMMAR/tillsynsmail/A 23496-2023.docx")</f>
        <v/>
      </c>
    </row>
    <row r="19" ht="15" customHeight="1">
      <c r="A19" t="inlineStr">
        <is>
          <t>A 70575-2018</t>
        </is>
      </c>
      <c r="B19" s="1" t="n">
        <v>43447</v>
      </c>
      <c r="C19" s="1" t="n">
        <v>45180</v>
      </c>
      <c r="D19" t="inlineStr">
        <is>
          <t>UPPSALA LÄN</t>
        </is>
      </c>
      <c r="E19" t="inlineStr">
        <is>
          <t>ÖSTHAMMAR</t>
        </is>
      </c>
      <c r="G19" t="n">
        <v>2.4</v>
      </c>
      <c r="H19" t="n">
        <v>3</v>
      </c>
      <c r="I19" t="n">
        <v>0</v>
      </c>
      <c r="J19" t="n">
        <v>3</v>
      </c>
      <c r="K19" t="n">
        <v>0</v>
      </c>
      <c r="L19" t="n">
        <v>1</v>
      </c>
      <c r="M19" t="n">
        <v>0</v>
      </c>
      <c r="N19" t="n">
        <v>0</v>
      </c>
      <c r="O19" t="n">
        <v>4</v>
      </c>
      <c r="P19" t="n">
        <v>1</v>
      </c>
      <c r="Q19" t="n">
        <v>5</v>
      </c>
      <c r="R19" s="2" t="inlineStr">
        <is>
          <t>Ask
Gultoppig fingersvamp
Spillkråka
Talltita
Blåsippa</t>
        </is>
      </c>
      <c r="S19">
        <f>HYPERLINK("https://klasma.github.io/Logging_OSTHAMMAR/artfynd/A 70575-2018.xlsx")</f>
        <v/>
      </c>
      <c r="T19">
        <f>HYPERLINK("https://klasma.github.io/Logging_OSTHAMMAR/kartor/A 70575-2018.png")</f>
        <v/>
      </c>
      <c r="V19">
        <f>HYPERLINK("https://klasma.github.io/Logging_OSTHAMMAR/klagomål/A 70575-2018.docx")</f>
        <v/>
      </c>
      <c r="W19">
        <f>HYPERLINK("https://klasma.github.io/Logging_OSTHAMMAR/klagomålsmail/A 70575-2018.docx")</f>
        <v/>
      </c>
      <c r="X19">
        <f>HYPERLINK("https://klasma.github.io/Logging_OSTHAMMAR/tillsyn/A 70575-2018.docx")</f>
        <v/>
      </c>
      <c r="Y19">
        <f>HYPERLINK("https://klasma.github.io/Logging_OSTHAMMAR/tillsynsmail/A 70575-2018.docx")</f>
        <v/>
      </c>
    </row>
    <row r="20" ht="15" customHeight="1">
      <c r="A20" t="inlineStr">
        <is>
          <t>A 15023-2019</t>
        </is>
      </c>
      <c r="B20" s="1" t="n">
        <v>43538</v>
      </c>
      <c r="C20" s="1" t="n">
        <v>45180</v>
      </c>
      <c r="D20" t="inlineStr">
        <is>
          <t>UPPSALA LÄN</t>
        </is>
      </c>
      <c r="E20" t="inlineStr">
        <is>
          <t>ÖSTHAMMAR</t>
        </is>
      </c>
      <c r="G20" t="n">
        <v>5</v>
      </c>
      <c r="H20" t="n">
        <v>3</v>
      </c>
      <c r="I20" t="n">
        <v>2</v>
      </c>
      <c r="J20" t="n">
        <v>1</v>
      </c>
      <c r="K20" t="n">
        <v>1</v>
      </c>
      <c r="L20" t="n">
        <v>0</v>
      </c>
      <c r="M20" t="n">
        <v>0</v>
      </c>
      <c r="N20" t="n">
        <v>0</v>
      </c>
      <c r="O20" t="n">
        <v>2</v>
      </c>
      <c r="P20" t="n">
        <v>1</v>
      </c>
      <c r="Q20" t="n">
        <v>5</v>
      </c>
      <c r="R20" s="2" t="inlineStr">
        <is>
          <t>Knottblomster
Majviva
Axag
Flugblomster
Fläcknycklar</t>
        </is>
      </c>
      <c r="S20">
        <f>HYPERLINK("https://klasma.github.io/Logging_OSTHAMMAR/artfynd/A 15023-2019.xlsx")</f>
        <v/>
      </c>
      <c r="T20">
        <f>HYPERLINK("https://klasma.github.io/Logging_OSTHAMMAR/kartor/A 15023-2019.png")</f>
        <v/>
      </c>
      <c r="V20">
        <f>HYPERLINK("https://klasma.github.io/Logging_OSTHAMMAR/klagomål/A 15023-2019.docx")</f>
        <v/>
      </c>
      <c r="W20">
        <f>HYPERLINK("https://klasma.github.io/Logging_OSTHAMMAR/klagomålsmail/A 15023-2019.docx")</f>
        <v/>
      </c>
      <c r="X20">
        <f>HYPERLINK("https://klasma.github.io/Logging_OSTHAMMAR/tillsyn/A 15023-2019.docx")</f>
        <v/>
      </c>
      <c r="Y20">
        <f>HYPERLINK("https://klasma.github.io/Logging_OSTHAMMAR/tillsynsmail/A 15023-2019.docx")</f>
        <v/>
      </c>
    </row>
    <row r="21" ht="15" customHeight="1">
      <c r="A21" t="inlineStr">
        <is>
          <t>A 31098-2019</t>
        </is>
      </c>
      <c r="B21" s="1" t="n">
        <v>43635</v>
      </c>
      <c r="C21" s="1" t="n">
        <v>45180</v>
      </c>
      <c r="D21" t="inlineStr">
        <is>
          <t>UPPSALA LÄN</t>
        </is>
      </c>
      <c r="E21" t="inlineStr">
        <is>
          <t>ÖSTHAMMAR</t>
        </is>
      </c>
      <c r="F21" t="inlineStr">
        <is>
          <t>Övriga statliga verk och myndigheter</t>
        </is>
      </c>
      <c r="G21" t="n">
        <v>6.9</v>
      </c>
      <c r="H21" t="n">
        <v>5</v>
      </c>
      <c r="I21" t="n">
        <v>0</v>
      </c>
      <c r="J21" t="n">
        <v>5</v>
      </c>
      <c r="K21" t="n">
        <v>0</v>
      </c>
      <c r="L21" t="n">
        <v>0</v>
      </c>
      <c r="M21" t="n">
        <v>0</v>
      </c>
      <c r="N21" t="n">
        <v>0</v>
      </c>
      <c r="O21" t="n">
        <v>5</v>
      </c>
      <c r="P21" t="n">
        <v>0</v>
      </c>
      <c r="Q21" t="n">
        <v>5</v>
      </c>
      <c r="R21" s="2" t="inlineStr">
        <is>
          <t>Grönsångare
Rödvingetrast
Skrattmås
Svartvit flugsnappare
Ärtsångare</t>
        </is>
      </c>
      <c r="S21">
        <f>HYPERLINK("https://klasma.github.io/Logging_OSTHAMMAR/artfynd/A 31098-2019.xlsx")</f>
        <v/>
      </c>
      <c r="T21">
        <f>HYPERLINK("https://klasma.github.io/Logging_OSTHAMMAR/kartor/A 31098-2019.png")</f>
        <v/>
      </c>
      <c r="V21">
        <f>HYPERLINK("https://klasma.github.io/Logging_OSTHAMMAR/klagomål/A 31098-2019.docx")</f>
        <v/>
      </c>
      <c r="W21">
        <f>HYPERLINK("https://klasma.github.io/Logging_OSTHAMMAR/klagomålsmail/A 31098-2019.docx")</f>
        <v/>
      </c>
      <c r="X21">
        <f>HYPERLINK("https://klasma.github.io/Logging_OSTHAMMAR/tillsyn/A 31098-2019.docx")</f>
        <v/>
      </c>
      <c r="Y21">
        <f>HYPERLINK("https://klasma.github.io/Logging_OSTHAMMAR/tillsynsmail/A 31098-2019.docx")</f>
        <v/>
      </c>
    </row>
    <row r="22" ht="15" customHeight="1">
      <c r="A22" t="inlineStr">
        <is>
          <t>A 33096-2020</t>
        </is>
      </c>
      <c r="B22" s="1" t="n">
        <v>44021</v>
      </c>
      <c r="C22" s="1" t="n">
        <v>45180</v>
      </c>
      <c r="D22" t="inlineStr">
        <is>
          <t>UPPSALA LÄN</t>
        </is>
      </c>
      <c r="E22" t="inlineStr">
        <is>
          <t>ÖSTHAMMAR</t>
        </is>
      </c>
      <c r="G22" t="n">
        <v>1.9</v>
      </c>
      <c r="H22" t="n">
        <v>2</v>
      </c>
      <c r="I22" t="n">
        <v>1</v>
      </c>
      <c r="J22" t="n">
        <v>3</v>
      </c>
      <c r="K22" t="n">
        <v>1</v>
      </c>
      <c r="L22" t="n">
        <v>0</v>
      </c>
      <c r="M22" t="n">
        <v>0</v>
      </c>
      <c r="N22" t="n">
        <v>0</v>
      </c>
      <c r="O22" t="n">
        <v>4</v>
      </c>
      <c r="P22" t="n">
        <v>1</v>
      </c>
      <c r="Q22" t="n">
        <v>5</v>
      </c>
      <c r="R22" s="2" t="inlineStr">
        <is>
          <t>Knärot
Dofttaggsvamp
Gultoppig fingersvamp
Orange taggsvamp
Skogsknipprot</t>
        </is>
      </c>
      <c r="S22">
        <f>HYPERLINK("https://klasma.github.io/Logging_OSTHAMMAR/artfynd/A 33096-2020.xlsx")</f>
        <v/>
      </c>
      <c r="T22">
        <f>HYPERLINK("https://klasma.github.io/Logging_OSTHAMMAR/kartor/A 33096-2020.png")</f>
        <v/>
      </c>
      <c r="U22">
        <f>HYPERLINK("https://klasma.github.io/Logging_OSTHAMMAR/knärot/A 33096-2020.png")</f>
        <v/>
      </c>
      <c r="V22">
        <f>HYPERLINK("https://klasma.github.io/Logging_OSTHAMMAR/klagomål/A 33096-2020.docx")</f>
        <v/>
      </c>
      <c r="W22">
        <f>HYPERLINK("https://klasma.github.io/Logging_OSTHAMMAR/klagomålsmail/A 33096-2020.docx")</f>
        <v/>
      </c>
      <c r="X22">
        <f>HYPERLINK("https://klasma.github.io/Logging_OSTHAMMAR/tillsyn/A 33096-2020.docx")</f>
        <v/>
      </c>
      <c r="Y22">
        <f>HYPERLINK("https://klasma.github.io/Logging_OSTHAMMAR/tillsynsmail/A 33096-2020.docx")</f>
        <v/>
      </c>
    </row>
    <row r="23" ht="15" customHeight="1">
      <c r="A23" t="inlineStr">
        <is>
          <t>A 72667-2021</t>
        </is>
      </c>
      <c r="B23" s="1" t="n">
        <v>44546</v>
      </c>
      <c r="C23" s="1" t="n">
        <v>45180</v>
      </c>
      <c r="D23" t="inlineStr">
        <is>
          <t>UPPSALA LÄN</t>
        </is>
      </c>
      <c r="E23" t="inlineStr">
        <is>
          <t>ÖSTHAMMAR</t>
        </is>
      </c>
      <c r="G23" t="n">
        <v>1.2</v>
      </c>
      <c r="H23" t="n">
        <v>0</v>
      </c>
      <c r="I23" t="n">
        <v>4</v>
      </c>
      <c r="J23" t="n">
        <v>0</v>
      </c>
      <c r="K23" t="n">
        <v>1</v>
      </c>
      <c r="L23" t="n">
        <v>0</v>
      </c>
      <c r="M23" t="n">
        <v>0</v>
      </c>
      <c r="N23" t="n">
        <v>0</v>
      </c>
      <c r="O23" t="n">
        <v>1</v>
      </c>
      <c r="P23" t="n">
        <v>1</v>
      </c>
      <c r="Q23" t="n">
        <v>5</v>
      </c>
      <c r="R23" s="2" t="inlineStr">
        <is>
          <t>Duvspindling
Anisspindling
Olivspindling
Strimspindling
Svavelriska</t>
        </is>
      </c>
      <c r="S23">
        <f>HYPERLINK("https://klasma.github.io/Logging_OSTHAMMAR/artfynd/A 72667-2021.xlsx")</f>
        <v/>
      </c>
      <c r="T23">
        <f>HYPERLINK("https://klasma.github.io/Logging_OSTHAMMAR/kartor/A 72667-2021.png")</f>
        <v/>
      </c>
      <c r="V23">
        <f>HYPERLINK("https://klasma.github.io/Logging_OSTHAMMAR/klagomål/A 72667-2021.docx")</f>
        <v/>
      </c>
      <c r="W23">
        <f>HYPERLINK("https://klasma.github.io/Logging_OSTHAMMAR/klagomålsmail/A 72667-2021.docx")</f>
        <v/>
      </c>
      <c r="X23">
        <f>HYPERLINK("https://klasma.github.io/Logging_OSTHAMMAR/tillsyn/A 72667-2021.docx")</f>
        <v/>
      </c>
      <c r="Y23">
        <f>HYPERLINK("https://klasma.github.io/Logging_OSTHAMMAR/tillsynsmail/A 72667-2021.docx")</f>
        <v/>
      </c>
    </row>
    <row r="24" ht="15" customHeight="1">
      <c r="A24" t="inlineStr">
        <is>
          <t>A 74364-2021</t>
        </is>
      </c>
      <c r="B24" s="1" t="n">
        <v>44559</v>
      </c>
      <c r="C24" s="1" t="n">
        <v>45180</v>
      </c>
      <c r="D24" t="inlineStr">
        <is>
          <t>UPPSALA LÄN</t>
        </is>
      </c>
      <c r="E24" t="inlineStr">
        <is>
          <t>ÖSTHAMMAR</t>
        </is>
      </c>
      <c r="G24" t="n">
        <v>3.5</v>
      </c>
      <c r="H24" t="n">
        <v>3</v>
      </c>
      <c r="I24" t="n">
        <v>3</v>
      </c>
      <c r="J24" t="n">
        <v>0</v>
      </c>
      <c r="K24" t="n">
        <v>0</v>
      </c>
      <c r="L24" t="n">
        <v>0</v>
      </c>
      <c r="M24" t="n">
        <v>0</v>
      </c>
      <c r="N24" t="n">
        <v>0</v>
      </c>
      <c r="O24" t="n">
        <v>0</v>
      </c>
      <c r="P24" t="n">
        <v>0</v>
      </c>
      <c r="Q24" t="n">
        <v>5</v>
      </c>
      <c r="R24" s="2" t="inlineStr">
        <is>
          <t>Bronshjon
Skogsknipprot
Sårläka
Blåsippa
Lopplummer</t>
        </is>
      </c>
      <c r="S24">
        <f>HYPERLINK("https://klasma.github.io/Logging_OSTHAMMAR/artfynd/A 74364-2021.xlsx")</f>
        <v/>
      </c>
      <c r="T24">
        <f>HYPERLINK("https://klasma.github.io/Logging_OSTHAMMAR/kartor/A 74364-2021.png")</f>
        <v/>
      </c>
      <c r="V24">
        <f>HYPERLINK("https://klasma.github.io/Logging_OSTHAMMAR/klagomål/A 74364-2021.docx")</f>
        <v/>
      </c>
      <c r="W24">
        <f>HYPERLINK("https://klasma.github.io/Logging_OSTHAMMAR/klagomålsmail/A 74364-2021.docx")</f>
        <v/>
      </c>
      <c r="X24">
        <f>HYPERLINK("https://klasma.github.io/Logging_OSTHAMMAR/tillsyn/A 74364-2021.docx")</f>
        <v/>
      </c>
      <c r="Y24">
        <f>HYPERLINK("https://klasma.github.io/Logging_OSTHAMMAR/tillsynsmail/A 74364-2021.docx")</f>
        <v/>
      </c>
    </row>
    <row r="25" ht="15" customHeight="1">
      <c r="A25" t="inlineStr">
        <is>
          <t>A 1224-2022</t>
        </is>
      </c>
      <c r="B25" s="1" t="n">
        <v>44572</v>
      </c>
      <c r="C25" s="1" t="n">
        <v>45180</v>
      </c>
      <c r="D25" t="inlineStr">
        <is>
          <t>UPPSALA LÄN</t>
        </is>
      </c>
      <c r="E25" t="inlineStr">
        <is>
          <t>ÖSTHAMMAR</t>
        </is>
      </c>
      <c r="G25" t="n">
        <v>4.7</v>
      </c>
      <c r="H25" t="n">
        <v>2</v>
      </c>
      <c r="I25" t="n">
        <v>4</v>
      </c>
      <c r="J25" t="n">
        <v>0</v>
      </c>
      <c r="K25" t="n">
        <v>0</v>
      </c>
      <c r="L25" t="n">
        <v>0</v>
      </c>
      <c r="M25" t="n">
        <v>0</v>
      </c>
      <c r="N25" t="n">
        <v>0</v>
      </c>
      <c r="O25" t="n">
        <v>0</v>
      </c>
      <c r="P25" t="n">
        <v>0</v>
      </c>
      <c r="Q25" t="n">
        <v>5</v>
      </c>
      <c r="R25" s="2" t="inlineStr">
        <is>
          <t>Skogsknipprot
Svavelriska
Trubbfjädermossa
Vårärt
Blåsippa</t>
        </is>
      </c>
      <c r="S25">
        <f>HYPERLINK("https://klasma.github.io/Logging_OSTHAMMAR/artfynd/A 1224-2022.xlsx")</f>
        <v/>
      </c>
      <c r="T25">
        <f>HYPERLINK("https://klasma.github.io/Logging_OSTHAMMAR/kartor/A 1224-2022.png")</f>
        <v/>
      </c>
      <c r="V25">
        <f>HYPERLINK("https://klasma.github.io/Logging_OSTHAMMAR/klagomål/A 1224-2022.docx")</f>
        <v/>
      </c>
      <c r="W25">
        <f>HYPERLINK("https://klasma.github.io/Logging_OSTHAMMAR/klagomålsmail/A 1224-2022.docx")</f>
        <v/>
      </c>
      <c r="X25">
        <f>HYPERLINK("https://klasma.github.io/Logging_OSTHAMMAR/tillsyn/A 1224-2022.docx")</f>
        <v/>
      </c>
      <c r="Y25">
        <f>HYPERLINK("https://klasma.github.io/Logging_OSTHAMMAR/tillsynsmail/A 1224-2022.docx")</f>
        <v/>
      </c>
    </row>
    <row r="26" ht="15" customHeight="1">
      <c r="A26" t="inlineStr">
        <is>
          <t>A 8753-2022</t>
        </is>
      </c>
      <c r="B26" s="1" t="n">
        <v>44614</v>
      </c>
      <c r="C26" s="1" t="n">
        <v>45180</v>
      </c>
      <c r="D26" t="inlineStr">
        <is>
          <t>UPPSALA LÄN</t>
        </is>
      </c>
      <c r="E26" t="inlineStr">
        <is>
          <t>ÖSTHAMMAR</t>
        </is>
      </c>
      <c r="G26" t="n">
        <v>5.3</v>
      </c>
      <c r="H26" t="n">
        <v>0</v>
      </c>
      <c r="I26" t="n">
        <v>3</v>
      </c>
      <c r="J26" t="n">
        <v>0</v>
      </c>
      <c r="K26" t="n">
        <v>2</v>
      </c>
      <c r="L26" t="n">
        <v>0</v>
      </c>
      <c r="M26" t="n">
        <v>0</v>
      </c>
      <c r="N26" t="n">
        <v>0</v>
      </c>
      <c r="O26" t="n">
        <v>2</v>
      </c>
      <c r="P26" t="n">
        <v>2</v>
      </c>
      <c r="Q26" t="n">
        <v>5</v>
      </c>
      <c r="R26" s="2" t="inlineStr">
        <is>
          <t>Gyllenspindling
Spricktaggsvamp
Olivspindling
Skarp dropptaggsvamp
Svavelriska</t>
        </is>
      </c>
      <c r="S26">
        <f>HYPERLINK("https://klasma.github.io/Logging_OSTHAMMAR/artfynd/A 8753-2022.xlsx")</f>
        <v/>
      </c>
      <c r="T26">
        <f>HYPERLINK("https://klasma.github.io/Logging_OSTHAMMAR/kartor/A 8753-2022.png")</f>
        <v/>
      </c>
      <c r="V26">
        <f>HYPERLINK("https://klasma.github.io/Logging_OSTHAMMAR/klagomål/A 8753-2022.docx")</f>
        <v/>
      </c>
      <c r="W26">
        <f>HYPERLINK("https://klasma.github.io/Logging_OSTHAMMAR/klagomålsmail/A 8753-2022.docx")</f>
        <v/>
      </c>
      <c r="X26">
        <f>HYPERLINK("https://klasma.github.io/Logging_OSTHAMMAR/tillsyn/A 8753-2022.docx")</f>
        <v/>
      </c>
      <c r="Y26">
        <f>HYPERLINK("https://klasma.github.io/Logging_OSTHAMMAR/tillsynsmail/A 8753-2022.docx")</f>
        <v/>
      </c>
    </row>
    <row r="27" ht="15" customHeight="1">
      <c r="A27" t="inlineStr">
        <is>
          <t>A 15556-2022</t>
        </is>
      </c>
      <c r="B27" s="1" t="n">
        <v>44662</v>
      </c>
      <c r="C27" s="1" t="n">
        <v>45180</v>
      </c>
      <c r="D27" t="inlineStr">
        <is>
          <t>UPPSALA LÄN</t>
        </is>
      </c>
      <c r="E27" t="inlineStr">
        <is>
          <t>ÖSTHAMMAR</t>
        </is>
      </c>
      <c r="G27" t="n">
        <v>9.9</v>
      </c>
      <c r="H27" t="n">
        <v>1</v>
      </c>
      <c r="I27" t="n">
        <v>4</v>
      </c>
      <c r="J27" t="n">
        <v>1</v>
      </c>
      <c r="K27" t="n">
        <v>0</v>
      </c>
      <c r="L27" t="n">
        <v>0</v>
      </c>
      <c r="M27" t="n">
        <v>0</v>
      </c>
      <c r="N27" t="n">
        <v>0</v>
      </c>
      <c r="O27" t="n">
        <v>1</v>
      </c>
      <c r="P27" t="n">
        <v>0</v>
      </c>
      <c r="Q27" t="n">
        <v>5</v>
      </c>
      <c r="R27" s="2" t="inlineStr">
        <is>
          <t>Tallticka
Hasselticka
Skogsknipprot
Svart trolldruva
Tibast</t>
        </is>
      </c>
      <c r="S27">
        <f>HYPERLINK("https://klasma.github.io/Logging_OSTHAMMAR/artfynd/A 15556-2022.xlsx")</f>
        <v/>
      </c>
      <c r="T27">
        <f>HYPERLINK("https://klasma.github.io/Logging_OSTHAMMAR/kartor/A 15556-2022.png")</f>
        <v/>
      </c>
      <c r="V27">
        <f>HYPERLINK("https://klasma.github.io/Logging_OSTHAMMAR/klagomål/A 15556-2022.docx")</f>
        <v/>
      </c>
      <c r="W27">
        <f>HYPERLINK("https://klasma.github.io/Logging_OSTHAMMAR/klagomålsmail/A 15556-2022.docx")</f>
        <v/>
      </c>
      <c r="X27">
        <f>HYPERLINK("https://klasma.github.io/Logging_OSTHAMMAR/tillsyn/A 15556-2022.docx")</f>
        <v/>
      </c>
      <c r="Y27">
        <f>HYPERLINK("https://klasma.github.io/Logging_OSTHAMMAR/tillsynsmail/A 15556-2022.docx")</f>
        <v/>
      </c>
    </row>
    <row r="28" ht="15" customHeight="1">
      <c r="A28" t="inlineStr">
        <is>
          <t>A 24563-2022</t>
        </is>
      </c>
      <c r="B28" s="1" t="n">
        <v>44727</v>
      </c>
      <c r="C28" s="1" t="n">
        <v>45180</v>
      </c>
      <c r="D28" t="inlineStr">
        <is>
          <t>UPPSALA LÄN</t>
        </is>
      </c>
      <c r="E28" t="inlineStr">
        <is>
          <t>ÖSTHAMMAR</t>
        </is>
      </c>
      <c r="G28" t="n">
        <v>7.4</v>
      </c>
      <c r="H28" t="n">
        <v>0</v>
      </c>
      <c r="I28" t="n">
        <v>3</v>
      </c>
      <c r="J28" t="n">
        <v>0</v>
      </c>
      <c r="K28" t="n">
        <v>2</v>
      </c>
      <c r="L28" t="n">
        <v>0</v>
      </c>
      <c r="M28" t="n">
        <v>0</v>
      </c>
      <c r="N28" t="n">
        <v>0</v>
      </c>
      <c r="O28" t="n">
        <v>2</v>
      </c>
      <c r="P28" t="n">
        <v>2</v>
      </c>
      <c r="Q28" t="n">
        <v>5</v>
      </c>
      <c r="R28" s="2" t="inlineStr">
        <is>
          <t>Gul lammticka
Koppartaggsvamp
Kamjordstjärna
Olivspindling
Rödgul trumpetsvamp</t>
        </is>
      </c>
      <c r="S28">
        <f>HYPERLINK("https://klasma.github.io/Logging_OSTHAMMAR/artfynd/A 24563-2022.xlsx")</f>
        <v/>
      </c>
      <c r="T28">
        <f>HYPERLINK("https://klasma.github.io/Logging_OSTHAMMAR/kartor/A 24563-2022.png")</f>
        <v/>
      </c>
      <c r="V28">
        <f>HYPERLINK("https://klasma.github.io/Logging_OSTHAMMAR/klagomål/A 24563-2022.docx")</f>
        <v/>
      </c>
      <c r="W28">
        <f>HYPERLINK("https://klasma.github.io/Logging_OSTHAMMAR/klagomålsmail/A 24563-2022.docx")</f>
        <v/>
      </c>
      <c r="X28">
        <f>HYPERLINK("https://klasma.github.io/Logging_OSTHAMMAR/tillsyn/A 24563-2022.docx")</f>
        <v/>
      </c>
      <c r="Y28">
        <f>HYPERLINK("https://klasma.github.io/Logging_OSTHAMMAR/tillsynsmail/A 24563-2022.docx")</f>
        <v/>
      </c>
    </row>
    <row r="29" ht="15" customHeight="1">
      <c r="A29" t="inlineStr">
        <is>
          <t>A 43992-2022</t>
        </is>
      </c>
      <c r="B29" s="1" t="n">
        <v>44837</v>
      </c>
      <c r="C29" s="1" t="n">
        <v>45180</v>
      </c>
      <c r="D29" t="inlineStr">
        <is>
          <t>UPPSALA LÄN</t>
        </is>
      </c>
      <c r="E29" t="inlineStr">
        <is>
          <t>ÖSTHAMMAR</t>
        </is>
      </c>
      <c r="F29" t="inlineStr">
        <is>
          <t>Sveaskog</t>
        </is>
      </c>
      <c r="G29" t="n">
        <v>1.8</v>
      </c>
      <c r="H29" t="n">
        <v>5</v>
      </c>
      <c r="I29" t="n">
        <v>0</v>
      </c>
      <c r="J29" t="n">
        <v>4</v>
      </c>
      <c r="K29" t="n">
        <v>1</v>
      </c>
      <c r="L29" t="n">
        <v>0</v>
      </c>
      <c r="M29" t="n">
        <v>0</v>
      </c>
      <c r="N29" t="n">
        <v>0</v>
      </c>
      <c r="O29" t="n">
        <v>5</v>
      </c>
      <c r="P29" t="n">
        <v>1</v>
      </c>
      <c r="Q29" t="n">
        <v>5</v>
      </c>
      <c r="R29" s="2" t="inlineStr">
        <is>
          <t>Stare
Buskskvätta
Fiskmås
Gulsparv
Svartvit flugsnappare</t>
        </is>
      </c>
      <c r="S29">
        <f>HYPERLINK("https://klasma.github.io/Logging_OSTHAMMAR/artfynd/A 43992-2022.xlsx")</f>
        <v/>
      </c>
      <c r="T29">
        <f>HYPERLINK("https://klasma.github.io/Logging_OSTHAMMAR/kartor/A 43992-2022.png")</f>
        <v/>
      </c>
      <c r="V29">
        <f>HYPERLINK("https://klasma.github.io/Logging_OSTHAMMAR/klagomål/A 43992-2022.docx")</f>
        <v/>
      </c>
      <c r="W29">
        <f>HYPERLINK("https://klasma.github.io/Logging_OSTHAMMAR/klagomålsmail/A 43992-2022.docx")</f>
        <v/>
      </c>
      <c r="X29">
        <f>HYPERLINK("https://klasma.github.io/Logging_OSTHAMMAR/tillsyn/A 43992-2022.docx")</f>
        <v/>
      </c>
      <c r="Y29">
        <f>HYPERLINK("https://klasma.github.io/Logging_OSTHAMMAR/tillsynsmail/A 43992-2022.docx")</f>
        <v/>
      </c>
    </row>
    <row r="30" ht="15" customHeight="1">
      <c r="A30" t="inlineStr">
        <is>
          <t>A 13604-2023</t>
        </is>
      </c>
      <c r="B30" s="1" t="n">
        <v>45006</v>
      </c>
      <c r="C30" s="1" t="n">
        <v>45180</v>
      </c>
      <c r="D30" t="inlineStr">
        <is>
          <t>UPPSALA LÄN</t>
        </is>
      </c>
      <c r="E30" t="inlineStr">
        <is>
          <t>ÖSTHAMMAR</t>
        </is>
      </c>
      <c r="G30" t="n">
        <v>5.7</v>
      </c>
      <c r="H30" t="n">
        <v>0</v>
      </c>
      <c r="I30" t="n">
        <v>4</v>
      </c>
      <c r="J30" t="n">
        <v>1</v>
      </c>
      <c r="K30" t="n">
        <v>0</v>
      </c>
      <c r="L30" t="n">
        <v>0</v>
      </c>
      <c r="M30" t="n">
        <v>0</v>
      </c>
      <c r="N30" t="n">
        <v>0</v>
      </c>
      <c r="O30" t="n">
        <v>1</v>
      </c>
      <c r="P30" t="n">
        <v>0</v>
      </c>
      <c r="Q30" t="n">
        <v>5</v>
      </c>
      <c r="R30" s="2" t="inlineStr">
        <is>
          <t>Odörspindling
Anisspindling
Diskvaxskivling
Olivspindling
Rödgul trumpetsvamp</t>
        </is>
      </c>
      <c r="S30">
        <f>HYPERLINK("https://klasma.github.io/Logging_OSTHAMMAR/artfynd/A 13604-2023.xlsx")</f>
        <v/>
      </c>
      <c r="T30">
        <f>HYPERLINK("https://klasma.github.io/Logging_OSTHAMMAR/kartor/A 13604-2023.png")</f>
        <v/>
      </c>
      <c r="V30">
        <f>HYPERLINK("https://klasma.github.io/Logging_OSTHAMMAR/klagomål/A 13604-2023.docx")</f>
        <v/>
      </c>
      <c r="W30">
        <f>HYPERLINK("https://klasma.github.io/Logging_OSTHAMMAR/klagomålsmail/A 13604-2023.docx")</f>
        <v/>
      </c>
      <c r="X30">
        <f>HYPERLINK("https://klasma.github.io/Logging_OSTHAMMAR/tillsyn/A 13604-2023.docx")</f>
        <v/>
      </c>
      <c r="Y30">
        <f>HYPERLINK("https://klasma.github.io/Logging_OSTHAMMAR/tillsynsmail/A 13604-2023.docx")</f>
        <v/>
      </c>
    </row>
    <row r="31" ht="15" customHeight="1">
      <c r="A31" t="inlineStr">
        <is>
          <t>A 23498-2023</t>
        </is>
      </c>
      <c r="B31" s="1" t="n">
        <v>45076</v>
      </c>
      <c r="C31" s="1" t="n">
        <v>45180</v>
      </c>
      <c r="D31" t="inlineStr">
        <is>
          <t>UPPSALA LÄN</t>
        </is>
      </c>
      <c r="E31" t="inlineStr">
        <is>
          <t>ÖSTHAMMAR</t>
        </is>
      </c>
      <c r="F31" t="inlineStr">
        <is>
          <t>Sveaskog</t>
        </is>
      </c>
      <c r="G31" t="n">
        <v>1.4</v>
      </c>
      <c r="H31" t="n">
        <v>5</v>
      </c>
      <c r="I31" t="n">
        <v>0</v>
      </c>
      <c r="J31" t="n">
        <v>3</v>
      </c>
      <c r="K31" t="n">
        <v>1</v>
      </c>
      <c r="L31" t="n">
        <v>1</v>
      </c>
      <c r="M31" t="n">
        <v>0</v>
      </c>
      <c r="N31" t="n">
        <v>0</v>
      </c>
      <c r="O31" t="n">
        <v>5</v>
      </c>
      <c r="P31" t="n">
        <v>2</v>
      </c>
      <c r="Q31" t="n">
        <v>5</v>
      </c>
      <c r="R31" s="2" t="inlineStr">
        <is>
          <t>Grönfink
Gråtrut
Gulsparv
Svartvit flugsnappare
Talltita</t>
        </is>
      </c>
      <c r="S31">
        <f>HYPERLINK("https://klasma.github.io/Logging_OSTHAMMAR/artfynd/A 23498-2023.xlsx")</f>
        <v/>
      </c>
      <c r="T31">
        <f>HYPERLINK("https://klasma.github.io/Logging_OSTHAMMAR/kartor/A 23498-2023.png")</f>
        <v/>
      </c>
      <c r="V31">
        <f>HYPERLINK("https://klasma.github.io/Logging_OSTHAMMAR/klagomål/A 23498-2023.docx")</f>
        <v/>
      </c>
      <c r="W31">
        <f>HYPERLINK("https://klasma.github.io/Logging_OSTHAMMAR/klagomålsmail/A 23498-2023.docx")</f>
        <v/>
      </c>
      <c r="X31">
        <f>HYPERLINK("https://klasma.github.io/Logging_OSTHAMMAR/tillsyn/A 23498-2023.docx")</f>
        <v/>
      </c>
      <c r="Y31">
        <f>HYPERLINK("https://klasma.github.io/Logging_OSTHAMMAR/tillsynsmail/A 23498-2023.docx")</f>
        <v/>
      </c>
    </row>
    <row r="32" ht="15" customHeight="1">
      <c r="A32" t="inlineStr">
        <is>
          <t>A 28211-2023</t>
        </is>
      </c>
      <c r="B32" s="1" t="n">
        <v>45099</v>
      </c>
      <c r="C32" s="1" t="n">
        <v>45180</v>
      </c>
      <c r="D32" t="inlineStr">
        <is>
          <t>UPPSALA LÄN</t>
        </is>
      </c>
      <c r="E32" t="inlineStr">
        <is>
          <t>ÖSTHAMMAR</t>
        </is>
      </c>
      <c r="G32" t="n">
        <v>3.2</v>
      </c>
      <c r="H32" t="n">
        <v>5</v>
      </c>
      <c r="I32" t="n">
        <v>0</v>
      </c>
      <c r="J32" t="n">
        <v>1</v>
      </c>
      <c r="K32" t="n">
        <v>2</v>
      </c>
      <c r="L32" t="n">
        <v>2</v>
      </c>
      <c r="M32" t="n">
        <v>0</v>
      </c>
      <c r="N32" t="n">
        <v>0</v>
      </c>
      <c r="O32" t="n">
        <v>5</v>
      </c>
      <c r="P32" t="n">
        <v>4</v>
      </c>
      <c r="Q32" t="n">
        <v>5</v>
      </c>
      <c r="R32" s="2" t="inlineStr">
        <is>
          <t>Ejder
Grönfink
Havstrut
Kricka
Rödvingetrast</t>
        </is>
      </c>
      <c r="S32">
        <f>HYPERLINK("https://klasma.github.io/Logging_OSTHAMMAR/artfynd/A 28211-2023.xlsx")</f>
        <v/>
      </c>
      <c r="T32">
        <f>HYPERLINK("https://klasma.github.io/Logging_OSTHAMMAR/kartor/A 28211-2023.png")</f>
        <v/>
      </c>
      <c r="V32">
        <f>HYPERLINK("https://klasma.github.io/Logging_OSTHAMMAR/klagomål/A 28211-2023.docx")</f>
        <v/>
      </c>
      <c r="W32">
        <f>HYPERLINK("https://klasma.github.io/Logging_OSTHAMMAR/klagomålsmail/A 28211-2023.docx")</f>
        <v/>
      </c>
      <c r="X32">
        <f>HYPERLINK("https://klasma.github.io/Logging_OSTHAMMAR/tillsyn/A 28211-2023.docx")</f>
        <v/>
      </c>
      <c r="Y32">
        <f>HYPERLINK("https://klasma.github.io/Logging_OSTHAMMAR/tillsynsmail/A 28211-2023.docx")</f>
        <v/>
      </c>
    </row>
    <row r="33" ht="15" customHeight="1">
      <c r="A33" t="inlineStr">
        <is>
          <t>A 20696-2019</t>
        </is>
      </c>
      <c r="B33" s="1" t="n">
        <v>43573</v>
      </c>
      <c r="C33" s="1" t="n">
        <v>45180</v>
      </c>
      <c r="D33" t="inlineStr">
        <is>
          <t>UPPSALA LÄN</t>
        </is>
      </c>
      <c r="E33" t="inlineStr">
        <is>
          <t>ÖSTHAMMAR</t>
        </is>
      </c>
      <c r="G33" t="n">
        <v>2</v>
      </c>
      <c r="H33" t="n">
        <v>4</v>
      </c>
      <c r="I33" t="n">
        <v>2</v>
      </c>
      <c r="J33" t="n">
        <v>0</v>
      </c>
      <c r="K33" t="n">
        <v>0</v>
      </c>
      <c r="L33" t="n">
        <v>0</v>
      </c>
      <c r="M33" t="n">
        <v>0</v>
      </c>
      <c r="N33" t="n">
        <v>0</v>
      </c>
      <c r="O33" t="n">
        <v>0</v>
      </c>
      <c r="P33" t="n">
        <v>0</v>
      </c>
      <c r="Q33" t="n">
        <v>4</v>
      </c>
      <c r="R33" s="2" t="inlineStr">
        <is>
          <t>Skogsknipprot
Tvåblad
Blåsippa
Gullviva</t>
        </is>
      </c>
      <c r="S33">
        <f>HYPERLINK("https://klasma.github.io/Logging_OSTHAMMAR/artfynd/A 20696-2019.xlsx")</f>
        <v/>
      </c>
      <c r="T33">
        <f>HYPERLINK("https://klasma.github.io/Logging_OSTHAMMAR/kartor/A 20696-2019.png")</f>
        <v/>
      </c>
      <c r="V33">
        <f>HYPERLINK("https://klasma.github.io/Logging_OSTHAMMAR/klagomål/A 20696-2019.docx")</f>
        <v/>
      </c>
      <c r="W33">
        <f>HYPERLINK("https://klasma.github.io/Logging_OSTHAMMAR/klagomålsmail/A 20696-2019.docx")</f>
        <v/>
      </c>
      <c r="X33">
        <f>HYPERLINK("https://klasma.github.io/Logging_OSTHAMMAR/tillsyn/A 20696-2019.docx")</f>
        <v/>
      </c>
      <c r="Y33">
        <f>HYPERLINK("https://klasma.github.io/Logging_OSTHAMMAR/tillsynsmail/A 20696-2019.docx")</f>
        <v/>
      </c>
    </row>
    <row r="34" ht="15" customHeight="1">
      <c r="A34" t="inlineStr">
        <is>
          <t>A 33051-2021</t>
        </is>
      </c>
      <c r="B34" s="1" t="n">
        <v>44376</v>
      </c>
      <c r="C34" s="1" t="n">
        <v>45180</v>
      </c>
      <c r="D34" t="inlineStr">
        <is>
          <t>UPPSALA LÄN</t>
        </is>
      </c>
      <c r="E34" t="inlineStr">
        <is>
          <t>ÖSTHAMMAR</t>
        </is>
      </c>
      <c r="G34" t="n">
        <v>3</v>
      </c>
      <c r="H34" t="n">
        <v>0</v>
      </c>
      <c r="I34" t="n">
        <v>3</v>
      </c>
      <c r="J34" t="n">
        <v>0</v>
      </c>
      <c r="K34" t="n">
        <v>1</v>
      </c>
      <c r="L34" t="n">
        <v>0</v>
      </c>
      <c r="M34" t="n">
        <v>0</v>
      </c>
      <c r="N34" t="n">
        <v>0</v>
      </c>
      <c r="O34" t="n">
        <v>1</v>
      </c>
      <c r="P34" t="n">
        <v>1</v>
      </c>
      <c r="Q34" t="n">
        <v>4</v>
      </c>
      <c r="R34" s="2" t="inlineStr">
        <is>
          <t>Gul lammticka
Anisspindling
Guldkremla
Kamjordstjärna</t>
        </is>
      </c>
      <c r="S34">
        <f>HYPERLINK("https://klasma.github.io/Logging_OSTHAMMAR/artfynd/A 33051-2021.xlsx")</f>
        <v/>
      </c>
      <c r="T34">
        <f>HYPERLINK("https://klasma.github.io/Logging_OSTHAMMAR/kartor/A 33051-2021.png")</f>
        <v/>
      </c>
      <c r="V34">
        <f>HYPERLINK("https://klasma.github.io/Logging_OSTHAMMAR/klagomål/A 33051-2021.docx")</f>
        <v/>
      </c>
      <c r="W34">
        <f>HYPERLINK("https://klasma.github.io/Logging_OSTHAMMAR/klagomålsmail/A 33051-2021.docx")</f>
        <v/>
      </c>
      <c r="X34">
        <f>HYPERLINK("https://klasma.github.io/Logging_OSTHAMMAR/tillsyn/A 33051-2021.docx")</f>
        <v/>
      </c>
      <c r="Y34">
        <f>HYPERLINK("https://klasma.github.io/Logging_OSTHAMMAR/tillsynsmail/A 33051-2021.docx")</f>
        <v/>
      </c>
    </row>
    <row r="35" ht="15" customHeight="1">
      <c r="A35" t="inlineStr">
        <is>
          <t>A 48352-2022</t>
        </is>
      </c>
      <c r="B35" s="1" t="n">
        <v>44858</v>
      </c>
      <c r="C35" s="1" t="n">
        <v>45180</v>
      </c>
      <c r="D35" t="inlineStr">
        <is>
          <t>UPPSALA LÄN</t>
        </is>
      </c>
      <c r="E35" t="inlineStr">
        <is>
          <t>ÖSTHAMMAR</t>
        </is>
      </c>
      <c r="G35" t="n">
        <v>4.8</v>
      </c>
      <c r="H35" t="n">
        <v>0</v>
      </c>
      <c r="I35" t="n">
        <v>2</v>
      </c>
      <c r="J35" t="n">
        <v>2</v>
      </c>
      <c r="K35" t="n">
        <v>0</v>
      </c>
      <c r="L35" t="n">
        <v>0</v>
      </c>
      <c r="M35" t="n">
        <v>0</v>
      </c>
      <c r="N35" t="n">
        <v>0</v>
      </c>
      <c r="O35" t="n">
        <v>2</v>
      </c>
      <c r="P35" t="n">
        <v>0</v>
      </c>
      <c r="Q35" t="n">
        <v>4</v>
      </c>
      <c r="R35" s="2" t="inlineStr">
        <is>
          <t>Gultoppig fingersvamp
Svart taggsvamp
Anisspindling
Diskvaxskivling</t>
        </is>
      </c>
      <c r="S35">
        <f>HYPERLINK("https://klasma.github.io/Logging_OSTHAMMAR/artfynd/A 48352-2022.xlsx")</f>
        <v/>
      </c>
      <c r="T35">
        <f>HYPERLINK("https://klasma.github.io/Logging_OSTHAMMAR/kartor/A 48352-2022.png")</f>
        <v/>
      </c>
      <c r="V35">
        <f>HYPERLINK("https://klasma.github.io/Logging_OSTHAMMAR/klagomål/A 48352-2022.docx")</f>
        <v/>
      </c>
      <c r="W35">
        <f>HYPERLINK("https://klasma.github.io/Logging_OSTHAMMAR/klagomålsmail/A 48352-2022.docx")</f>
        <v/>
      </c>
      <c r="X35">
        <f>HYPERLINK("https://klasma.github.io/Logging_OSTHAMMAR/tillsyn/A 48352-2022.docx")</f>
        <v/>
      </c>
      <c r="Y35">
        <f>HYPERLINK("https://klasma.github.io/Logging_OSTHAMMAR/tillsynsmail/A 48352-2022.docx")</f>
        <v/>
      </c>
    </row>
    <row r="36" ht="15" customHeight="1">
      <c r="A36" t="inlineStr">
        <is>
          <t>A 52659-2022</t>
        </is>
      </c>
      <c r="B36" s="1" t="n">
        <v>44874</v>
      </c>
      <c r="C36" s="1" t="n">
        <v>45180</v>
      </c>
      <c r="D36" t="inlineStr">
        <is>
          <t>UPPSALA LÄN</t>
        </is>
      </c>
      <c r="E36" t="inlineStr">
        <is>
          <t>ÖSTHAMMAR</t>
        </is>
      </c>
      <c r="F36" t="inlineStr">
        <is>
          <t>Bergvik skog öst AB</t>
        </is>
      </c>
      <c r="G36" t="n">
        <v>1.8</v>
      </c>
      <c r="H36" t="n">
        <v>4</v>
      </c>
      <c r="I36" t="n">
        <v>0</v>
      </c>
      <c r="J36" t="n">
        <v>4</v>
      </c>
      <c r="K36" t="n">
        <v>0</v>
      </c>
      <c r="L36" t="n">
        <v>0</v>
      </c>
      <c r="M36" t="n">
        <v>0</v>
      </c>
      <c r="N36" t="n">
        <v>0</v>
      </c>
      <c r="O36" t="n">
        <v>4</v>
      </c>
      <c r="P36" t="n">
        <v>0</v>
      </c>
      <c r="Q36" t="n">
        <v>4</v>
      </c>
      <c r="R36" s="2" t="inlineStr">
        <is>
          <t>Gulsparv
Kråka
Svartvit flugsnappare
Sävsparv</t>
        </is>
      </c>
      <c r="S36">
        <f>HYPERLINK("https://klasma.github.io/Logging_OSTHAMMAR/artfynd/A 52659-2022.xlsx")</f>
        <v/>
      </c>
      <c r="T36">
        <f>HYPERLINK("https://klasma.github.io/Logging_OSTHAMMAR/kartor/A 52659-2022.png")</f>
        <v/>
      </c>
      <c r="V36">
        <f>HYPERLINK("https://klasma.github.io/Logging_OSTHAMMAR/klagomål/A 52659-2022.docx")</f>
        <v/>
      </c>
      <c r="W36">
        <f>HYPERLINK("https://klasma.github.io/Logging_OSTHAMMAR/klagomålsmail/A 52659-2022.docx")</f>
        <v/>
      </c>
      <c r="X36">
        <f>HYPERLINK("https://klasma.github.io/Logging_OSTHAMMAR/tillsyn/A 52659-2022.docx")</f>
        <v/>
      </c>
      <c r="Y36">
        <f>HYPERLINK("https://klasma.github.io/Logging_OSTHAMMAR/tillsynsmail/A 52659-2022.docx")</f>
        <v/>
      </c>
    </row>
    <row r="37" ht="15" customHeight="1">
      <c r="A37" t="inlineStr">
        <is>
          <t>A 12228-2023</t>
        </is>
      </c>
      <c r="B37" s="1" t="n">
        <v>44995</v>
      </c>
      <c r="C37" s="1" t="n">
        <v>45180</v>
      </c>
      <c r="D37" t="inlineStr">
        <is>
          <t>UPPSALA LÄN</t>
        </is>
      </c>
      <c r="E37" t="inlineStr">
        <is>
          <t>ÖSTHAMMAR</t>
        </is>
      </c>
      <c r="G37" t="n">
        <v>23.4</v>
      </c>
      <c r="H37" t="n">
        <v>0</v>
      </c>
      <c r="I37" t="n">
        <v>2</v>
      </c>
      <c r="J37" t="n">
        <v>1</v>
      </c>
      <c r="K37" t="n">
        <v>1</v>
      </c>
      <c r="L37" t="n">
        <v>0</v>
      </c>
      <c r="M37" t="n">
        <v>0</v>
      </c>
      <c r="N37" t="n">
        <v>0</v>
      </c>
      <c r="O37" t="n">
        <v>2</v>
      </c>
      <c r="P37" t="n">
        <v>1</v>
      </c>
      <c r="Q37" t="n">
        <v>4</v>
      </c>
      <c r="R37" s="2" t="inlineStr">
        <is>
          <t>Taggfingersvamp
Äggspindling
Anisspindling
Brun klibbskivling</t>
        </is>
      </c>
      <c r="S37">
        <f>HYPERLINK("https://klasma.github.io/Logging_OSTHAMMAR/artfynd/A 12228-2023.xlsx")</f>
        <v/>
      </c>
      <c r="T37">
        <f>HYPERLINK("https://klasma.github.io/Logging_OSTHAMMAR/kartor/A 12228-2023.png")</f>
        <v/>
      </c>
      <c r="V37">
        <f>HYPERLINK("https://klasma.github.io/Logging_OSTHAMMAR/klagomål/A 12228-2023.docx")</f>
        <v/>
      </c>
      <c r="W37">
        <f>HYPERLINK("https://klasma.github.io/Logging_OSTHAMMAR/klagomålsmail/A 12228-2023.docx")</f>
        <v/>
      </c>
      <c r="X37">
        <f>HYPERLINK("https://klasma.github.io/Logging_OSTHAMMAR/tillsyn/A 12228-2023.docx")</f>
        <v/>
      </c>
      <c r="Y37">
        <f>HYPERLINK("https://klasma.github.io/Logging_OSTHAMMAR/tillsynsmail/A 12228-2023.docx")</f>
        <v/>
      </c>
    </row>
    <row r="38" ht="15" customHeight="1">
      <c r="A38" t="inlineStr">
        <is>
          <t>A 26600-2023</t>
        </is>
      </c>
      <c r="B38" s="1" t="n">
        <v>45092</v>
      </c>
      <c r="C38" s="1" t="n">
        <v>45180</v>
      </c>
      <c r="D38" t="inlineStr">
        <is>
          <t>UPPSALA LÄN</t>
        </is>
      </c>
      <c r="E38" t="inlineStr">
        <is>
          <t>ÖSTHAMMAR</t>
        </is>
      </c>
      <c r="F38" t="inlineStr">
        <is>
          <t>Sveaskog</t>
        </is>
      </c>
      <c r="G38" t="n">
        <v>3.5</v>
      </c>
      <c r="H38" t="n">
        <v>4</v>
      </c>
      <c r="I38" t="n">
        <v>0</v>
      </c>
      <c r="J38" t="n">
        <v>3</v>
      </c>
      <c r="K38" t="n">
        <v>0</v>
      </c>
      <c r="L38" t="n">
        <v>1</v>
      </c>
      <c r="M38" t="n">
        <v>0</v>
      </c>
      <c r="N38" t="n">
        <v>0</v>
      </c>
      <c r="O38" t="n">
        <v>4</v>
      </c>
      <c r="P38" t="n">
        <v>1</v>
      </c>
      <c r="Q38" t="n">
        <v>4</v>
      </c>
      <c r="R38" s="2" t="inlineStr">
        <is>
          <t>Grönfink
Fiskmås
Nordfladdermus
Rörsångare</t>
        </is>
      </c>
      <c r="S38">
        <f>HYPERLINK("https://klasma.github.io/Logging_OSTHAMMAR/artfynd/A 26600-2023.xlsx")</f>
        <v/>
      </c>
      <c r="T38">
        <f>HYPERLINK("https://klasma.github.io/Logging_OSTHAMMAR/kartor/A 26600-2023.png")</f>
        <v/>
      </c>
      <c r="V38">
        <f>HYPERLINK("https://klasma.github.io/Logging_OSTHAMMAR/klagomål/A 26600-2023.docx")</f>
        <v/>
      </c>
      <c r="W38">
        <f>HYPERLINK("https://klasma.github.io/Logging_OSTHAMMAR/klagomålsmail/A 26600-2023.docx")</f>
        <v/>
      </c>
      <c r="X38">
        <f>HYPERLINK("https://klasma.github.io/Logging_OSTHAMMAR/tillsyn/A 26600-2023.docx")</f>
        <v/>
      </c>
      <c r="Y38">
        <f>HYPERLINK("https://klasma.github.io/Logging_OSTHAMMAR/tillsynsmail/A 26600-2023.docx")</f>
        <v/>
      </c>
    </row>
    <row r="39" ht="15" customHeight="1">
      <c r="A39" t="inlineStr">
        <is>
          <t>A 3285-2019</t>
        </is>
      </c>
      <c r="B39" s="1" t="n">
        <v>43480</v>
      </c>
      <c r="C39" s="1" t="n">
        <v>45180</v>
      </c>
      <c r="D39" t="inlineStr">
        <is>
          <t>UPPSALA LÄN</t>
        </is>
      </c>
      <c r="E39" t="inlineStr">
        <is>
          <t>ÖSTHAMMAR</t>
        </is>
      </c>
      <c r="G39" t="n">
        <v>4</v>
      </c>
      <c r="H39" t="n">
        <v>3</v>
      </c>
      <c r="I39" t="n">
        <v>0</v>
      </c>
      <c r="J39" t="n">
        <v>1</v>
      </c>
      <c r="K39" t="n">
        <v>0</v>
      </c>
      <c r="L39" t="n">
        <v>1</v>
      </c>
      <c r="M39" t="n">
        <v>0</v>
      </c>
      <c r="N39" t="n">
        <v>0</v>
      </c>
      <c r="O39" t="n">
        <v>2</v>
      </c>
      <c r="P39" t="n">
        <v>1</v>
      </c>
      <c r="Q39" t="n">
        <v>3</v>
      </c>
      <c r="R39" s="2" t="inlineStr">
        <is>
          <t>Grönfink
Spillkråka
Vanlig snok</t>
        </is>
      </c>
      <c r="S39">
        <f>HYPERLINK("https://klasma.github.io/Logging_OSTHAMMAR/artfynd/A 3285-2019.xlsx")</f>
        <v/>
      </c>
      <c r="T39">
        <f>HYPERLINK("https://klasma.github.io/Logging_OSTHAMMAR/kartor/A 3285-2019.png")</f>
        <v/>
      </c>
      <c r="V39">
        <f>HYPERLINK("https://klasma.github.io/Logging_OSTHAMMAR/klagomål/A 3285-2019.docx")</f>
        <v/>
      </c>
      <c r="W39">
        <f>HYPERLINK("https://klasma.github.io/Logging_OSTHAMMAR/klagomålsmail/A 3285-2019.docx")</f>
        <v/>
      </c>
      <c r="X39">
        <f>HYPERLINK("https://klasma.github.io/Logging_OSTHAMMAR/tillsyn/A 3285-2019.docx")</f>
        <v/>
      </c>
      <c r="Y39">
        <f>HYPERLINK("https://klasma.github.io/Logging_OSTHAMMAR/tillsynsmail/A 3285-2019.docx")</f>
        <v/>
      </c>
    </row>
    <row r="40" ht="15" customHeight="1">
      <c r="A40" t="inlineStr">
        <is>
          <t>A 8385-2020</t>
        </is>
      </c>
      <c r="B40" s="1" t="n">
        <v>43875</v>
      </c>
      <c r="C40" s="1" t="n">
        <v>45180</v>
      </c>
      <c r="D40" t="inlineStr">
        <is>
          <t>UPPSALA LÄN</t>
        </is>
      </c>
      <c r="E40" t="inlineStr">
        <is>
          <t>ÖSTHAMMAR</t>
        </is>
      </c>
      <c r="F40" t="inlineStr">
        <is>
          <t>Bergvik skog öst AB</t>
        </is>
      </c>
      <c r="G40" t="n">
        <v>0.7</v>
      </c>
      <c r="H40" t="n">
        <v>2</v>
      </c>
      <c r="I40" t="n">
        <v>1</v>
      </c>
      <c r="J40" t="n">
        <v>2</v>
      </c>
      <c r="K40" t="n">
        <v>0</v>
      </c>
      <c r="L40" t="n">
        <v>0</v>
      </c>
      <c r="M40" t="n">
        <v>0</v>
      </c>
      <c r="N40" t="n">
        <v>0</v>
      </c>
      <c r="O40" t="n">
        <v>2</v>
      </c>
      <c r="P40" t="n">
        <v>0</v>
      </c>
      <c r="Q40" t="n">
        <v>3</v>
      </c>
      <c r="R40" s="2" t="inlineStr">
        <is>
          <t>Gulsparv
Svartvit flugsnappare
Svavelriska</t>
        </is>
      </c>
      <c r="S40">
        <f>HYPERLINK("https://klasma.github.io/Logging_OSTHAMMAR/artfynd/A 8385-2020.xlsx")</f>
        <v/>
      </c>
      <c r="T40">
        <f>HYPERLINK("https://klasma.github.io/Logging_OSTHAMMAR/kartor/A 8385-2020.png")</f>
        <v/>
      </c>
      <c r="V40">
        <f>HYPERLINK("https://klasma.github.io/Logging_OSTHAMMAR/klagomål/A 8385-2020.docx")</f>
        <v/>
      </c>
      <c r="W40">
        <f>HYPERLINK("https://klasma.github.io/Logging_OSTHAMMAR/klagomålsmail/A 8385-2020.docx")</f>
        <v/>
      </c>
      <c r="X40">
        <f>HYPERLINK("https://klasma.github.io/Logging_OSTHAMMAR/tillsyn/A 8385-2020.docx")</f>
        <v/>
      </c>
      <c r="Y40">
        <f>HYPERLINK("https://klasma.github.io/Logging_OSTHAMMAR/tillsynsmail/A 8385-2020.docx")</f>
        <v/>
      </c>
    </row>
    <row r="41" ht="15" customHeight="1">
      <c r="A41" t="inlineStr">
        <is>
          <t>A 33035-2021</t>
        </is>
      </c>
      <c r="B41" s="1" t="n">
        <v>44376</v>
      </c>
      <c r="C41" s="1" t="n">
        <v>45180</v>
      </c>
      <c r="D41" t="inlineStr">
        <is>
          <t>UPPSALA LÄN</t>
        </is>
      </c>
      <c r="E41" t="inlineStr">
        <is>
          <t>ÖSTHAMMAR</t>
        </is>
      </c>
      <c r="G41" t="n">
        <v>4.3</v>
      </c>
      <c r="H41" t="n">
        <v>0</v>
      </c>
      <c r="I41" t="n">
        <v>0</v>
      </c>
      <c r="J41" t="n">
        <v>1</v>
      </c>
      <c r="K41" t="n">
        <v>2</v>
      </c>
      <c r="L41" t="n">
        <v>0</v>
      </c>
      <c r="M41" t="n">
        <v>0</v>
      </c>
      <c r="N41" t="n">
        <v>0</v>
      </c>
      <c r="O41" t="n">
        <v>3</v>
      </c>
      <c r="P41" t="n">
        <v>2</v>
      </c>
      <c r="Q41" t="n">
        <v>3</v>
      </c>
      <c r="R41" s="2" t="inlineStr">
        <is>
          <t>Granrotspindling
Gyllenfingersvamp
Dofttaggsvamp</t>
        </is>
      </c>
      <c r="S41">
        <f>HYPERLINK("https://klasma.github.io/Logging_OSTHAMMAR/artfynd/A 33035-2021.xlsx")</f>
        <v/>
      </c>
      <c r="T41">
        <f>HYPERLINK("https://klasma.github.io/Logging_OSTHAMMAR/kartor/A 33035-2021.png")</f>
        <v/>
      </c>
      <c r="V41">
        <f>HYPERLINK("https://klasma.github.io/Logging_OSTHAMMAR/klagomål/A 33035-2021.docx")</f>
        <v/>
      </c>
      <c r="W41">
        <f>HYPERLINK("https://klasma.github.io/Logging_OSTHAMMAR/klagomålsmail/A 33035-2021.docx")</f>
        <v/>
      </c>
      <c r="X41">
        <f>HYPERLINK("https://klasma.github.io/Logging_OSTHAMMAR/tillsyn/A 33035-2021.docx")</f>
        <v/>
      </c>
      <c r="Y41">
        <f>HYPERLINK("https://klasma.github.io/Logging_OSTHAMMAR/tillsynsmail/A 33035-2021.docx")</f>
        <v/>
      </c>
    </row>
    <row r="42" ht="15" customHeight="1">
      <c r="A42" t="inlineStr">
        <is>
          <t>A 55051-2021</t>
        </is>
      </c>
      <c r="B42" s="1" t="n">
        <v>44474</v>
      </c>
      <c r="C42" s="1" t="n">
        <v>45180</v>
      </c>
      <c r="D42" t="inlineStr">
        <is>
          <t>UPPSALA LÄN</t>
        </is>
      </c>
      <c r="E42" t="inlineStr">
        <is>
          <t>ÖSTHAMMAR</t>
        </is>
      </c>
      <c r="F42" t="inlineStr">
        <is>
          <t>Bergvik skog öst AB</t>
        </is>
      </c>
      <c r="G42" t="n">
        <v>6.5</v>
      </c>
      <c r="H42" t="n">
        <v>1</v>
      </c>
      <c r="I42" t="n">
        <v>2</v>
      </c>
      <c r="J42" t="n">
        <v>0</v>
      </c>
      <c r="K42" t="n">
        <v>0</v>
      </c>
      <c r="L42" t="n">
        <v>0</v>
      </c>
      <c r="M42" t="n">
        <v>0</v>
      </c>
      <c r="N42" t="n">
        <v>0</v>
      </c>
      <c r="O42" t="n">
        <v>0</v>
      </c>
      <c r="P42" t="n">
        <v>0</v>
      </c>
      <c r="Q42" t="n">
        <v>3</v>
      </c>
      <c r="R42" s="2" t="inlineStr">
        <is>
          <t>Svart trolldruva
Tibast
Blåsippa</t>
        </is>
      </c>
      <c r="S42">
        <f>HYPERLINK("https://klasma.github.io/Logging_OSTHAMMAR/artfynd/A 55051-2021.xlsx")</f>
        <v/>
      </c>
      <c r="T42">
        <f>HYPERLINK("https://klasma.github.io/Logging_OSTHAMMAR/kartor/A 55051-2021.png")</f>
        <v/>
      </c>
      <c r="V42">
        <f>HYPERLINK("https://klasma.github.io/Logging_OSTHAMMAR/klagomål/A 55051-2021.docx")</f>
        <v/>
      </c>
      <c r="W42">
        <f>HYPERLINK("https://klasma.github.io/Logging_OSTHAMMAR/klagomålsmail/A 55051-2021.docx")</f>
        <v/>
      </c>
      <c r="X42">
        <f>HYPERLINK("https://klasma.github.io/Logging_OSTHAMMAR/tillsyn/A 55051-2021.docx")</f>
        <v/>
      </c>
      <c r="Y42">
        <f>HYPERLINK("https://klasma.github.io/Logging_OSTHAMMAR/tillsynsmail/A 55051-2021.docx")</f>
        <v/>
      </c>
    </row>
    <row r="43" ht="15" customHeight="1">
      <c r="A43" t="inlineStr">
        <is>
          <t>A 69515-2021</t>
        </is>
      </c>
      <c r="B43" s="1" t="n">
        <v>44531</v>
      </c>
      <c r="C43" s="1" t="n">
        <v>45180</v>
      </c>
      <c r="D43" t="inlineStr">
        <is>
          <t>UPPSALA LÄN</t>
        </is>
      </c>
      <c r="E43" t="inlineStr">
        <is>
          <t>ÖSTHAMMAR</t>
        </is>
      </c>
      <c r="G43" t="n">
        <v>7</v>
      </c>
      <c r="H43" t="n">
        <v>1</v>
      </c>
      <c r="I43" t="n">
        <v>2</v>
      </c>
      <c r="J43" t="n">
        <v>0</v>
      </c>
      <c r="K43" t="n">
        <v>0</v>
      </c>
      <c r="L43" t="n">
        <v>0</v>
      </c>
      <c r="M43" t="n">
        <v>0</v>
      </c>
      <c r="N43" t="n">
        <v>0</v>
      </c>
      <c r="O43" t="n">
        <v>0</v>
      </c>
      <c r="P43" t="n">
        <v>0</v>
      </c>
      <c r="Q43" t="n">
        <v>3</v>
      </c>
      <c r="R43" s="2" t="inlineStr">
        <is>
          <t>Svart trolldruva
Underviol
Revlummer</t>
        </is>
      </c>
      <c r="S43">
        <f>HYPERLINK("https://klasma.github.io/Logging_OSTHAMMAR/artfynd/A 69515-2021.xlsx")</f>
        <v/>
      </c>
      <c r="T43">
        <f>HYPERLINK("https://klasma.github.io/Logging_OSTHAMMAR/kartor/A 69515-2021.png")</f>
        <v/>
      </c>
      <c r="V43">
        <f>HYPERLINK("https://klasma.github.io/Logging_OSTHAMMAR/klagomål/A 69515-2021.docx")</f>
        <v/>
      </c>
      <c r="W43">
        <f>HYPERLINK("https://klasma.github.io/Logging_OSTHAMMAR/klagomålsmail/A 69515-2021.docx")</f>
        <v/>
      </c>
      <c r="X43">
        <f>HYPERLINK("https://klasma.github.io/Logging_OSTHAMMAR/tillsyn/A 69515-2021.docx")</f>
        <v/>
      </c>
      <c r="Y43">
        <f>HYPERLINK("https://klasma.github.io/Logging_OSTHAMMAR/tillsynsmail/A 69515-2021.docx")</f>
        <v/>
      </c>
    </row>
    <row r="44" ht="15" customHeight="1">
      <c r="A44" t="inlineStr">
        <is>
          <t>A 26557-2022</t>
        </is>
      </c>
      <c r="B44" s="1" t="n">
        <v>44739</v>
      </c>
      <c r="C44" s="1" t="n">
        <v>45180</v>
      </c>
      <c r="D44" t="inlineStr">
        <is>
          <t>UPPSALA LÄN</t>
        </is>
      </c>
      <c r="E44" t="inlineStr">
        <is>
          <t>ÖSTHAMMAR</t>
        </is>
      </c>
      <c r="F44" t="inlineStr">
        <is>
          <t>Övriga statliga verk och myndigheter</t>
        </is>
      </c>
      <c r="G44" t="n">
        <v>1.7</v>
      </c>
      <c r="H44" t="n">
        <v>3</v>
      </c>
      <c r="I44" t="n">
        <v>0</v>
      </c>
      <c r="J44" t="n">
        <v>3</v>
      </c>
      <c r="K44" t="n">
        <v>0</v>
      </c>
      <c r="L44" t="n">
        <v>0</v>
      </c>
      <c r="M44" t="n">
        <v>0</v>
      </c>
      <c r="N44" t="n">
        <v>0</v>
      </c>
      <c r="O44" t="n">
        <v>3</v>
      </c>
      <c r="P44" t="n">
        <v>0</v>
      </c>
      <c r="Q44" t="n">
        <v>3</v>
      </c>
      <c r="R44" s="2" t="inlineStr">
        <is>
          <t>Järpe
Mindre hackspett
Spillkråka</t>
        </is>
      </c>
      <c r="S44">
        <f>HYPERLINK("https://klasma.github.io/Logging_OSTHAMMAR/artfynd/A 26557-2022.xlsx")</f>
        <v/>
      </c>
      <c r="T44">
        <f>HYPERLINK("https://klasma.github.io/Logging_OSTHAMMAR/kartor/A 26557-2022.png")</f>
        <v/>
      </c>
      <c r="V44">
        <f>HYPERLINK("https://klasma.github.io/Logging_OSTHAMMAR/klagomål/A 26557-2022.docx")</f>
        <v/>
      </c>
      <c r="W44">
        <f>HYPERLINK("https://klasma.github.io/Logging_OSTHAMMAR/klagomålsmail/A 26557-2022.docx")</f>
        <v/>
      </c>
      <c r="X44">
        <f>HYPERLINK("https://klasma.github.io/Logging_OSTHAMMAR/tillsyn/A 26557-2022.docx")</f>
        <v/>
      </c>
      <c r="Y44">
        <f>HYPERLINK("https://klasma.github.io/Logging_OSTHAMMAR/tillsynsmail/A 26557-2022.docx")</f>
        <v/>
      </c>
    </row>
    <row r="45" ht="15" customHeight="1">
      <c r="A45" t="inlineStr">
        <is>
          <t>A 52808-2022</t>
        </is>
      </c>
      <c r="B45" s="1" t="n">
        <v>44875</v>
      </c>
      <c r="C45" s="1" t="n">
        <v>45180</v>
      </c>
      <c r="D45" t="inlineStr">
        <is>
          <t>UPPSALA LÄN</t>
        </is>
      </c>
      <c r="E45" t="inlineStr">
        <is>
          <t>ÖSTHAMMAR</t>
        </is>
      </c>
      <c r="G45" t="n">
        <v>4.8</v>
      </c>
      <c r="H45" t="n">
        <v>2</v>
      </c>
      <c r="I45" t="n">
        <v>2</v>
      </c>
      <c r="J45" t="n">
        <v>0</v>
      </c>
      <c r="K45" t="n">
        <v>0</v>
      </c>
      <c r="L45" t="n">
        <v>0</v>
      </c>
      <c r="M45" t="n">
        <v>0</v>
      </c>
      <c r="N45" t="n">
        <v>0</v>
      </c>
      <c r="O45" t="n">
        <v>0</v>
      </c>
      <c r="P45" t="n">
        <v>0</v>
      </c>
      <c r="Q45" t="n">
        <v>3</v>
      </c>
      <c r="R45" s="2" t="inlineStr">
        <is>
          <t>Tibast
Tvåblad
Revlummer</t>
        </is>
      </c>
      <c r="S45">
        <f>HYPERLINK("https://klasma.github.io/Logging_OSTHAMMAR/artfynd/A 52808-2022.xlsx")</f>
        <v/>
      </c>
      <c r="T45">
        <f>HYPERLINK("https://klasma.github.io/Logging_OSTHAMMAR/kartor/A 52808-2022.png")</f>
        <v/>
      </c>
      <c r="V45">
        <f>HYPERLINK("https://klasma.github.io/Logging_OSTHAMMAR/klagomål/A 52808-2022.docx")</f>
        <v/>
      </c>
      <c r="W45">
        <f>HYPERLINK("https://klasma.github.io/Logging_OSTHAMMAR/klagomålsmail/A 52808-2022.docx")</f>
        <v/>
      </c>
      <c r="X45">
        <f>HYPERLINK("https://klasma.github.io/Logging_OSTHAMMAR/tillsyn/A 52808-2022.docx")</f>
        <v/>
      </c>
      <c r="Y45">
        <f>HYPERLINK("https://klasma.github.io/Logging_OSTHAMMAR/tillsynsmail/A 52808-2022.docx")</f>
        <v/>
      </c>
    </row>
    <row r="46" ht="15" customHeight="1">
      <c r="A46" t="inlineStr">
        <is>
          <t>A 12485-2023</t>
        </is>
      </c>
      <c r="B46" s="1" t="n">
        <v>44998</v>
      </c>
      <c r="C46" s="1" t="n">
        <v>45180</v>
      </c>
      <c r="D46" t="inlineStr">
        <is>
          <t>UPPSALA LÄN</t>
        </is>
      </c>
      <c r="E46" t="inlineStr">
        <is>
          <t>ÖSTHAMMAR</t>
        </is>
      </c>
      <c r="G46" t="n">
        <v>4.3</v>
      </c>
      <c r="H46" t="n">
        <v>0</v>
      </c>
      <c r="I46" t="n">
        <v>0</v>
      </c>
      <c r="J46" t="n">
        <v>3</v>
      </c>
      <c r="K46" t="n">
        <v>0</v>
      </c>
      <c r="L46" t="n">
        <v>0</v>
      </c>
      <c r="M46" t="n">
        <v>0</v>
      </c>
      <c r="N46" t="n">
        <v>0</v>
      </c>
      <c r="O46" t="n">
        <v>3</v>
      </c>
      <c r="P46" t="n">
        <v>0</v>
      </c>
      <c r="Q46" t="n">
        <v>3</v>
      </c>
      <c r="R46" s="2" t="inlineStr">
        <is>
          <t>Backklöver
Slåtterfibbla
Solvända</t>
        </is>
      </c>
      <c r="S46">
        <f>HYPERLINK("https://klasma.github.io/Logging_OSTHAMMAR/artfynd/A 12485-2023.xlsx")</f>
        <v/>
      </c>
      <c r="T46">
        <f>HYPERLINK("https://klasma.github.io/Logging_OSTHAMMAR/kartor/A 12485-2023.png")</f>
        <v/>
      </c>
      <c r="V46">
        <f>HYPERLINK("https://klasma.github.io/Logging_OSTHAMMAR/klagomål/A 12485-2023.docx")</f>
        <v/>
      </c>
      <c r="W46">
        <f>HYPERLINK("https://klasma.github.io/Logging_OSTHAMMAR/klagomålsmail/A 12485-2023.docx")</f>
        <v/>
      </c>
      <c r="X46">
        <f>HYPERLINK("https://klasma.github.io/Logging_OSTHAMMAR/tillsyn/A 12485-2023.docx")</f>
        <v/>
      </c>
      <c r="Y46">
        <f>HYPERLINK("https://klasma.github.io/Logging_OSTHAMMAR/tillsynsmail/A 12485-2023.docx")</f>
        <v/>
      </c>
    </row>
    <row r="47" ht="15" customHeight="1">
      <c r="A47" t="inlineStr">
        <is>
          <t>A 13120-2023</t>
        </is>
      </c>
      <c r="B47" s="1" t="n">
        <v>45002</v>
      </c>
      <c r="C47" s="1" t="n">
        <v>45180</v>
      </c>
      <c r="D47" t="inlineStr">
        <is>
          <t>UPPSALA LÄN</t>
        </is>
      </c>
      <c r="E47" t="inlineStr">
        <is>
          <t>ÖSTHAMMAR</t>
        </is>
      </c>
      <c r="G47" t="n">
        <v>5.8</v>
      </c>
      <c r="H47" t="n">
        <v>0</v>
      </c>
      <c r="I47" t="n">
        <v>3</v>
      </c>
      <c r="J47" t="n">
        <v>0</v>
      </c>
      <c r="K47" t="n">
        <v>0</v>
      </c>
      <c r="L47" t="n">
        <v>0</v>
      </c>
      <c r="M47" t="n">
        <v>0</v>
      </c>
      <c r="N47" t="n">
        <v>0</v>
      </c>
      <c r="O47" t="n">
        <v>0</v>
      </c>
      <c r="P47" t="n">
        <v>0</v>
      </c>
      <c r="Q47" t="n">
        <v>3</v>
      </c>
      <c r="R47" s="2" t="inlineStr">
        <is>
          <t>Anisspindling
Olivspindling
Rödgul trumpetsvamp</t>
        </is>
      </c>
      <c r="S47">
        <f>HYPERLINK("https://klasma.github.io/Logging_OSTHAMMAR/artfynd/A 13120-2023.xlsx")</f>
        <v/>
      </c>
      <c r="T47">
        <f>HYPERLINK("https://klasma.github.io/Logging_OSTHAMMAR/kartor/A 13120-2023.png")</f>
        <v/>
      </c>
      <c r="V47">
        <f>HYPERLINK("https://klasma.github.io/Logging_OSTHAMMAR/klagomål/A 13120-2023.docx")</f>
        <v/>
      </c>
      <c r="W47">
        <f>HYPERLINK("https://klasma.github.io/Logging_OSTHAMMAR/klagomålsmail/A 13120-2023.docx")</f>
        <v/>
      </c>
      <c r="X47">
        <f>HYPERLINK("https://klasma.github.io/Logging_OSTHAMMAR/tillsyn/A 13120-2023.docx")</f>
        <v/>
      </c>
      <c r="Y47">
        <f>HYPERLINK("https://klasma.github.io/Logging_OSTHAMMAR/tillsynsmail/A 13120-2023.docx")</f>
        <v/>
      </c>
    </row>
    <row r="48" ht="15" customHeight="1">
      <c r="A48" t="inlineStr">
        <is>
          <t>A 15179-2023</t>
        </is>
      </c>
      <c r="B48" s="1" t="n">
        <v>45016</v>
      </c>
      <c r="C48" s="1" t="n">
        <v>45180</v>
      </c>
      <c r="D48" t="inlineStr">
        <is>
          <t>UPPSALA LÄN</t>
        </is>
      </c>
      <c r="E48" t="inlineStr">
        <is>
          <t>ÖSTHAMMAR</t>
        </is>
      </c>
      <c r="G48" t="n">
        <v>6.1</v>
      </c>
      <c r="H48" t="n">
        <v>1</v>
      </c>
      <c r="I48" t="n">
        <v>3</v>
      </c>
      <c r="J48" t="n">
        <v>0</v>
      </c>
      <c r="K48" t="n">
        <v>0</v>
      </c>
      <c r="L48" t="n">
        <v>0</v>
      </c>
      <c r="M48" t="n">
        <v>0</v>
      </c>
      <c r="N48" t="n">
        <v>0</v>
      </c>
      <c r="O48" t="n">
        <v>0</v>
      </c>
      <c r="P48" t="n">
        <v>0</v>
      </c>
      <c r="Q48" t="n">
        <v>3</v>
      </c>
      <c r="R48" s="2" t="inlineStr">
        <is>
          <t>Skogsknipprot
Tibast
Vårärt</t>
        </is>
      </c>
      <c r="S48">
        <f>HYPERLINK("https://klasma.github.io/Logging_OSTHAMMAR/artfynd/A 15179-2023.xlsx")</f>
        <v/>
      </c>
      <c r="T48">
        <f>HYPERLINK("https://klasma.github.io/Logging_OSTHAMMAR/kartor/A 15179-2023.png")</f>
        <v/>
      </c>
      <c r="V48">
        <f>HYPERLINK("https://klasma.github.io/Logging_OSTHAMMAR/klagomål/A 15179-2023.docx")</f>
        <v/>
      </c>
      <c r="W48">
        <f>HYPERLINK("https://klasma.github.io/Logging_OSTHAMMAR/klagomålsmail/A 15179-2023.docx")</f>
        <v/>
      </c>
      <c r="X48">
        <f>HYPERLINK("https://klasma.github.io/Logging_OSTHAMMAR/tillsyn/A 15179-2023.docx")</f>
        <v/>
      </c>
      <c r="Y48">
        <f>HYPERLINK("https://klasma.github.io/Logging_OSTHAMMAR/tillsynsmail/A 15179-2023.docx")</f>
        <v/>
      </c>
    </row>
    <row r="49" ht="15" customHeight="1">
      <c r="A49" t="inlineStr">
        <is>
          <t>A 19884-2023</t>
        </is>
      </c>
      <c r="B49" s="1" t="n">
        <v>45054</v>
      </c>
      <c r="C49" s="1" t="n">
        <v>45180</v>
      </c>
      <c r="D49" t="inlineStr">
        <is>
          <t>UPPSALA LÄN</t>
        </is>
      </c>
      <c r="E49" t="inlineStr">
        <is>
          <t>ÖSTHAMMAR</t>
        </is>
      </c>
      <c r="G49" t="n">
        <v>2.5</v>
      </c>
      <c r="H49" t="n">
        <v>3</v>
      </c>
      <c r="I49" t="n">
        <v>0</v>
      </c>
      <c r="J49" t="n">
        <v>2</v>
      </c>
      <c r="K49" t="n">
        <v>0</v>
      </c>
      <c r="L49" t="n">
        <v>1</v>
      </c>
      <c r="M49" t="n">
        <v>0</v>
      </c>
      <c r="N49" t="n">
        <v>0</v>
      </c>
      <c r="O49" t="n">
        <v>3</v>
      </c>
      <c r="P49" t="n">
        <v>1</v>
      </c>
      <c r="Q49" t="n">
        <v>3</v>
      </c>
      <c r="R49" s="2" t="inlineStr">
        <is>
          <t>Grönfink
Grönsångare
Rödvingetrast</t>
        </is>
      </c>
      <c r="S49">
        <f>HYPERLINK("https://klasma.github.io/Logging_OSTHAMMAR/artfynd/A 19884-2023.xlsx")</f>
        <v/>
      </c>
      <c r="T49">
        <f>HYPERLINK("https://klasma.github.io/Logging_OSTHAMMAR/kartor/A 19884-2023.png")</f>
        <v/>
      </c>
      <c r="V49">
        <f>HYPERLINK("https://klasma.github.io/Logging_OSTHAMMAR/klagomål/A 19884-2023.docx")</f>
        <v/>
      </c>
      <c r="W49">
        <f>HYPERLINK("https://klasma.github.io/Logging_OSTHAMMAR/klagomålsmail/A 19884-2023.docx")</f>
        <v/>
      </c>
      <c r="X49">
        <f>HYPERLINK("https://klasma.github.io/Logging_OSTHAMMAR/tillsyn/A 19884-2023.docx")</f>
        <v/>
      </c>
      <c r="Y49">
        <f>HYPERLINK("https://klasma.github.io/Logging_OSTHAMMAR/tillsynsmail/A 19884-2023.docx")</f>
        <v/>
      </c>
    </row>
    <row r="50" ht="15" customHeight="1">
      <c r="A50" t="inlineStr">
        <is>
          <t>A 9672-2019</t>
        </is>
      </c>
      <c r="B50" s="1" t="n">
        <v>43508</v>
      </c>
      <c r="C50" s="1" t="n">
        <v>45180</v>
      </c>
      <c r="D50" t="inlineStr">
        <is>
          <t>UPPSALA LÄN</t>
        </is>
      </c>
      <c r="E50" t="inlineStr">
        <is>
          <t>ÖSTHAMMAR</t>
        </is>
      </c>
      <c r="G50" t="n">
        <v>1.2</v>
      </c>
      <c r="H50" t="n">
        <v>0</v>
      </c>
      <c r="I50" t="n">
        <v>1</v>
      </c>
      <c r="J50" t="n">
        <v>1</v>
      </c>
      <c r="K50" t="n">
        <v>0</v>
      </c>
      <c r="L50" t="n">
        <v>0</v>
      </c>
      <c r="M50" t="n">
        <v>0</v>
      </c>
      <c r="N50" t="n">
        <v>0</v>
      </c>
      <c r="O50" t="n">
        <v>1</v>
      </c>
      <c r="P50" t="n">
        <v>0</v>
      </c>
      <c r="Q50" t="n">
        <v>2</v>
      </c>
      <c r="R50" s="2" t="inlineStr">
        <is>
          <t>Orange taggsvamp
Olivspindling</t>
        </is>
      </c>
      <c r="S50">
        <f>HYPERLINK("https://klasma.github.io/Logging_OSTHAMMAR/artfynd/A 9672-2019.xlsx")</f>
        <v/>
      </c>
      <c r="T50">
        <f>HYPERLINK("https://klasma.github.io/Logging_OSTHAMMAR/kartor/A 9672-2019.png")</f>
        <v/>
      </c>
      <c r="V50">
        <f>HYPERLINK("https://klasma.github.io/Logging_OSTHAMMAR/klagomål/A 9672-2019.docx")</f>
        <v/>
      </c>
      <c r="W50">
        <f>HYPERLINK("https://klasma.github.io/Logging_OSTHAMMAR/klagomålsmail/A 9672-2019.docx")</f>
        <v/>
      </c>
      <c r="X50">
        <f>HYPERLINK("https://klasma.github.io/Logging_OSTHAMMAR/tillsyn/A 9672-2019.docx")</f>
        <v/>
      </c>
      <c r="Y50">
        <f>HYPERLINK("https://klasma.github.io/Logging_OSTHAMMAR/tillsynsmail/A 9672-2019.docx")</f>
        <v/>
      </c>
    </row>
    <row r="51" ht="15" customHeight="1">
      <c r="A51" t="inlineStr">
        <is>
          <t>A 2172-2020</t>
        </is>
      </c>
      <c r="B51" s="1" t="n">
        <v>43846</v>
      </c>
      <c r="C51" s="1" t="n">
        <v>45180</v>
      </c>
      <c r="D51" t="inlineStr">
        <is>
          <t>UPPSALA LÄN</t>
        </is>
      </c>
      <c r="E51" t="inlineStr">
        <is>
          <t>ÖSTHAMMAR</t>
        </is>
      </c>
      <c r="G51" t="n">
        <v>3.8</v>
      </c>
      <c r="H51" t="n">
        <v>0</v>
      </c>
      <c r="I51" t="n">
        <v>1</v>
      </c>
      <c r="J51" t="n">
        <v>1</v>
      </c>
      <c r="K51" t="n">
        <v>0</v>
      </c>
      <c r="L51" t="n">
        <v>0</v>
      </c>
      <c r="M51" t="n">
        <v>0</v>
      </c>
      <c r="N51" t="n">
        <v>0</v>
      </c>
      <c r="O51" t="n">
        <v>1</v>
      </c>
      <c r="P51" t="n">
        <v>0</v>
      </c>
      <c r="Q51" t="n">
        <v>2</v>
      </c>
      <c r="R51" s="2" t="inlineStr">
        <is>
          <t>Flattoppad klubbsvamp
Zontaggsvamp</t>
        </is>
      </c>
      <c r="S51">
        <f>HYPERLINK("https://klasma.github.io/Logging_OSTHAMMAR/artfynd/A 2172-2020.xlsx")</f>
        <v/>
      </c>
      <c r="T51">
        <f>HYPERLINK("https://klasma.github.io/Logging_OSTHAMMAR/kartor/A 2172-2020.png")</f>
        <v/>
      </c>
      <c r="V51">
        <f>HYPERLINK("https://klasma.github.io/Logging_OSTHAMMAR/klagomål/A 2172-2020.docx")</f>
        <v/>
      </c>
      <c r="W51">
        <f>HYPERLINK("https://klasma.github.io/Logging_OSTHAMMAR/klagomålsmail/A 2172-2020.docx")</f>
        <v/>
      </c>
      <c r="X51">
        <f>HYPERLINK("https://klasma.github.io/Logging_OSTHAMMAR/tillsyn/A 2172-2020.docx")</f>
        <v/>
      </c>
      <c r="Y51">
        <f>HYPERLINK("https://klasma.github.io/Logging_OSTHAMMAR/tillsynsmail/A 2172-2020.docx")</f>
        <v/>
      </c>
    </row>
    <row r="52" ht="15" customHeight="1">
      <c r="A52" t="inlineStr">
        <is>
          <t>A 9867-2020</t>
        </is>
      </c>
      <c r="B52" s="1" t="n">
        <v>43882</v>
      </c>
      <c r="C52" s="1" t="n">
        <v>45180</v>
      </c>
      <c r="D52" t="inlineStr">
        <is>
          <t>UPPSALA LÄN</t>
        </is>
      </c>
      <c r="E52" t="inlineStr">
        <is>
          <t>ÖSTHAMMAR</t>
        </is>
      </c>
      <c r="F52" t="inlineStr">
        <is>
          <t>Bergvik skog öst AB</t>
        </is>
      </c>
      <c r="G52" t="n">
        <v>11.1</v>
      </c>
      <c r="H52" t="n">
        <v>1</v>
      </c>
      <c r="I52" t="n">
        <v>1</v>
      </c>
      <c r="J52" t="n">
        <v>0</v>
      </c>
      <c r="K52" t="n">
        <v>0</v>
      </c>
      <c r="L52" t="n">
        <v>0</v>
      </c>
      <c r="M52" t="n">
        <v>0</v>
      </c>
      <c r="N52" t="n">
        <v>0</v>
      </c>
      <c r="O52" t="n">
        <v>0</v>
      </c>
      <c r="P52" t="n">
        <v>0</v>
      </c>
      <c r="Q52" t="n">
        <v>2</v>
      </c>
      <c r="R52" s="2" t="inlineStr">
        <is>
          <t>Gräsull
Revlummer</t>
        </is>
      </c>
      <c r="S52">
        <f>HYPERLINK("https://klasma.github.io/Logging_OSTHAMMAR/artfynd/A 9867-2020.xlsx")</f>
        <v/>
      </c>
      <c r="T52">
        <f>HYPERLINK("https://klasma.github.io/Logging_OSTHAMMAR/kartor/A 9867-2020.png")</f>
        <v/>
      </c>
      <c r="V52">
        <f>HYPERLINK("https://klasma.github.io/Logging_OSTHAMMAR/klagomål/A 9867-2020.docx")</f>
        <v/>
      </c>
      <c r="W52">
        <f>HYPERLINK("https://klasma.github.io/Logging_OSTHAMMAR/klagomålsmail/A 9867-2020.docx")</f>
        <v/>
      </c>
      <c r="X52">
        <f>HYPERLINK("https://klasma.github.io/Logging_OSTHAMMAR/tillsyn/A 9867-2020.docx")</f>
        <v/>
      </c>
      <c r="Y52">
        <f>HYPERLINK("https://klasma.github.io/Logging_OSTHAMMAR/tillsynsmail/A 9867-2020.docx")</f>
        <v/>
      </c>
    </row>
    <row r="53" ht="15" customHeight="1">
      <c r="A53" t="inlineStr">
        <is>
          <t>A 42520-2020</t>
        </is>
      </c>
      <c r="B53" s="1" t="n">
        <v>44077</v>
      </c>
      <c r="C53" s="1" t="n">
        <v>45180</v>
      </c>
      <c r="D53" t="inlineStr">
        <is>
          <t>UPPSALA LÄN</t>
        </is>
      </c>
      <c r="E53" t="inlineStr">
        <is>
          <t>ÖSTHAMMAR</t>
        </is>
      </c>
      <c r="G53" t="n">
        <v>2.8</v>
      </c>
      <c r="H53" t="n">
        <v>1</v>
      </c>
      <c r="I53" t="n">
        <v>2</v>
      </c>
      <c r="J53" t="n">
        <v>0</v>
      </c>
      <c r="K53" t="n">
        <v>0</v>
      </c>
      <c r="L53" t="n">
        <v>0</v>
      </c>
      <c r="M53" t="n">
        <v>0</v>
      </c>
      <c r="N53" t="n">
        <v>0</v>
      </c>
      <c r="O53" t="n">
        <v>0</v>
      </c>
      <c r="P53" t="n">
        <v>0</v>
      </c>
      <c r="Q53" t="n">
        <v>2</v>
      </c>
      <c r="R53" s="2" t="inlineStr">
        <is>
          <t>Hasselticka
Skogsknipprot</t>
        </is>
      </c>
      <c r="S53">
        <f>HYPERLINK("https://klasma.github.io/Logging_OSTHAMMAR/artfynd/A 42520-2020.xlsx")</f>
        <v/>
      </c>
      <c r="T53">
        <f>HYPERLINK("https://klasma.github.io/Logging_OSTHAMMAR/kartor/A 42520-2020.png")</f>
        <v/>
      </c>
      <c r="V53">
        <f>HYPERLINK("https://klasma.github.io/Logging_OSTHAMMAR/klagomål/A 42520-2020.docx")</f>
        <v/>
      </c>
      <c r="W53">
        <f>HYPERLINK("https://klasma.github.io/Logging_OSTHAMMAR/klagomålsmail/A 42520-2020.docx")</f>
        <v/>
      </c>
      <c r="X53">
        <f>HYPERLINK("https://klasma.github.io/Logging_OSTHAMMAR/tillsyn/A 42520-2020.docx")</f>
        <v/>
      </c>
      <c r="Y53">
        <f>HYPERLINK("https://klasma.github.io/Logging_OSTHAMMAR/tillsynsmail/A 42520-2020.docx")</f>
        <v/>
      </c>
    </row>
    <row r="54" ht="15" customHeight="1">
      <c r="A54" t="inlineStr">
        <is>
          <t>A 59416-2020</t>
        </is>
      </c>
      <c r="B54" s="1" t="n">
        <v>44148</v>
      </c>
      <c r="C54" s="1" t="n">
        <v>45180</v>
      </c>
      <c r="D54" t="inlineStr">
        <is>
          <t>UPPSALA LÄN</t>
        </is>
      </c>
      <c r="E54" t="inlineStr">
        <is>
          <t>ÖSTHAMMAR</t>
        </is>
      </c>
      <c r="F54" t="inlineStr">
        <is>
          <t>Sveaskog</t>
        </is>
      </c>
      <c r="G54" t="n">
        <v>1.7</v>
      </c>
      <c r="H54" t="n">
        <v>2</v>
      </c>
      <c r="I54" t="n">
        <v>0</v>
      </c>
      <c r="J54" t="n">
        <v>1</v>
      </c>
      <c r="K54" t="n">
        <v>0</v>
      </c>
      <c r="L54" t="n">
        <v>1</v>
      </c>
      <c r="M54" t="n">
        <v>0</v>
      </c>
      <c r="N54" t="n">
        <v>0</v>
      </c>
      <c r="O54" t="n">
        <v>2</v>
      </c>
      <c r="P54" t="n">
        <v>1</v>
      </c>
      <c r="Q54" t="n">
        <v>2</v>
      </c>
      <c r="R54" s="2" t="inlineStr">
        <is>
          <t>Grönfink
Svartvit flugsnappare</t>
        </is>
      </c>
      <c r="S54">
        <f>HYPERLINK("https://klasma.github.io/Logging_OSTHAMMAR/artfynd/A 59416-2020.xlsx")</f>
        <v/>
      </c>
      <c r="T54">
        <f>HYPERLINK("https://klasma.github.io/Logging_OSTHAMMAR/kartor/A 59416-2020.png")</f>
        <v/>
      </c>
      <c r="V54">
        <f>HYPERLINK("https://klasma.github.io/Logging_OSTHAMMAR/klagomål/A 59416-2020.docx")</f>
        <v/>
      </c>
      <c r="W54">
        <f>HYPERLINK("https://klasma.github.io/Logging_OSTHAMMAR/klagomålsmail/A 59416-2020.docx")</f>
        <v/>
      </c>
      <c r="X54">
        <f>HYPERLINK("https://klasma.github.io/Logging_OSTHAMMAR/tillsyn/A 59416-2020.docx")</f>
        <v/>
      </c>
      <c r="Y54">
        <f>HYPERLINK("https://klasma.github.io/Logging_OSTHAMMAR/tillsynsmail/A 59416-2020.docx")</f>
        <v/>
      </c>
    </row>
    <row r="55" ht="15" customHeight="1">
      <c r="A55" t="inlineStr">
        <is>
          <t>A 6223-2021</t>
        </is>
      </c>
      <c r="B55" s="1" t="n">
        <v>44235</v>
      </c>
      <c r="C55" s="1" t="n">
        <v>45180</v>
      </c>
      <c r="D55" t="inlineStr">
        <is>
          <t>UPPSALA LÄN</t>
        </is>
      </c>
      <c r="E55" t="inlineStr">
        <is>
          <t>ÖSTHAMMAR</t>
        </is>
      </c>
      <c r="G55" t="n">
        <v>0.5</v>
      </c>
      <c r="H55" t="n">
        <v>2</v>
      </c>
      <c r="I55" t="n">
        <v>0</v>
      </c>
      <c r="J55" t="n">
        <v>0</v>
      </c>
      <c r="K55" t="n">
        <v>0</v>
      </c>
      <c r="L55" t="n">
        <v>0</v>
      </c>
      <c r="M55" t="n">
        <v>0</v>
      </c>
      <c r="N55" t="n">
        <v>0</v>
      </c>
      <c r="O55" t="n">
        <v>0</v>
      </c>
      <c r="P55" t="n">
        <v>0</v>
      </c>
      <c r="Q55" t="n">
        <v>2</v>
      </c>
      <c r="R55" s="2" t="inlineStr">
        <is>
          <t>Blåsippa
Gullviva</t>
        </is>
      </c>
      <c r="S55">
        <f>HYPERLINK("https://klasma.github.io/Logging_OSTHAMMAR/artfynd/A 6223-2021.xlsx")</f>
        <v/>
      </c>
      <c r="T55">
        <f>HYPERLINK("https://klasma.github.io/Logging_OSTHAMMAR/kartor/A 6223-2021.png")</f>
        <v/>
      </c>
      <c r="V55">
        <f>HYPERLINK("https://klasma.github.io/Logging_OSTHAMMAR/klagomål/A 6223-2021.docx")</f>
        <v/>
      </c>
      <c r="W55">
        <f>HYPERLINK("https://klasma.github.io/Logging_OSTHAMMAR/klagomålsmail/A 6223-2021.docx")</f>
        <v/>
      </c>
      <c r="X55">
        <f>HYPERLINK("https://klasma.github.io/Logging_OSTHAMMAR/tillsyn/A 6223-2021.docx")</f>
        <v/>
      </c>
      <c r="Y55">
        <f>HYPERLINK("https://klasma.github.io/Logging_OSTHAMMAR/tillsynsmail/A 6223-2021.docx")</f>
        <v/>
      </c>
    </row>
    <row r="56" ht="15" customHeight="1">
      <c r="A56" t="inlineStr">
        <is>
          <t>A 60078-2021</t>
        </is>
      </c>
      <c r="B56" s="1" t="n">
        <v>44495</v>
      </c>
      <c r="C56" s="1" t="n">
        <v>45180</v>
      </c>
      <c r="D56" t="inlineStr">
        <is>
          <t>UPPSALA LÄN</t>
        </is>
      </c>
      <c r="E56" t="inlineStr">
        <is>
          <t>ÖSTHAMMAR</t>
        </is>
      </c>
      <c r="G56" t="n">
        <v>1.1</v>
      </c>
      <c r="H56" t="n">
        <v>0</v>
      </c>
      <c r="I56" t="n">
        <v>0</v>
      </c>
      <c r="J56" t="n">
        <v>1</v>
      </c>
      <c r="K56" t="n">
        <v>1</v>
      </c>
      <c r="L56" t="n">
        <v>0</v>
      </c>
      <c r="M56" t="n">
        <v>0</v>
      </c>
      <c r="N56" t="n">
        <v>0</v>
      </c>
      <c r="O56" t="n">
        <v>2</v>
      </c>
      <c r="P56" t="n">
        <v>1</v>
      </c>
      <c r="Q56" t="n">
        <v>2</v>
      </c>
      <c r="R56" s="2" t="inlineStr">
        <is>
          <t>Violgubbe
Blek fingersvamp</t>
        </is>
      </c>
      <c r="S56">
        <f>HYPERLINK("https://klasma.github.io/Logging_OSTHAMMAR/artfynd/A 60078-2021.xlsx")</f>
        <v/>
      </c>
      <c r="T56">
        <f>HYPERLINK("https://klasma.github.io/Logging_OSTHAMMAR/kartor/A 60078-2021.png")</f>
        <v/>
      </c>
      <c r="V56">
        <f>HYPERLINK("https://klasma.github.io/Logging_OSTHAMMAR/klagomål/A 60078-2021.docx")</f>
        <v/>
      </c>
      <c r="W56">
        <f>HYPERLINK("https://klasma.github.io/Logging_OSTHAMMAR/klagomålsmail/A 60078-2021.docx")</f>
        <v/>
      </c>
      <c r="X56">
        <f>HYPERLINK("https://klasma.github.io/Logging_OSTHAMMAR/tillsyn/A 60078-2021.docx")</f>
        <v/>
      </c>
      <c r="Y56">
        <f>HYPERLINK("https://klasma.github.io/Logging_OSTHAMMAR/tillsynsmail/A 60078-2021.docx")</f>
        <v/>
      </c>
    </row>
    <row r="57" ht="15" customHeight="1">
      <c r="A57" t="inlineStr">
        <is>
          <t>A 67855-2021</t>
        </is>
      </c>
      <c r="B57" s="1" t="n">
        <v>44525</v>
      </c>
      <c r="C57" s="1" t="n">
        <v>45180</v>
      </c>
      <c r="D57" t="inlineStr">
        <is>
          <t>UPPSALA LÄN</t>
        </is>
      </c>
      <c r="E57" t="inlineStr">
        <is>
          <t>ÖSTHAMMAR</t>
        </is>
      </c>
      <c r="G57" t="n">
        <v>7.5</v>
      </c>
      <c r="H57" t="n">
        <v>0</v>
      </c>
      <c r="I57" t="n">
        <v>2</v>
      </c>
      <c r="J57" t="n">
        <v>0</v>
      </c>
      <c r="K57" t="n">
        <v>0</v>
      </c>
      <c r="L57" t="n">
        <v>0</v>
      </c>
      <c r="M57" t="n">
        <v>0</v>
      </c>
      <c r="N57" t="n">
        <v>0</v>
      </c>
      <c r="O57" t="n">
        <v>0</v>
      </c>
      <c r="P57" t="n">
        <v>0</v>
      </c>
      <c r="Q57" t="n">
        <v>2</v>
      </c>
      <c r="R57" s="2" t="inlineStr">
        <is>
          <t>Guldkremla
Kamjordstjärna</t>
        </is>
      </c>
      <c r="S57">
        <f>HYPERLINK("https://klasma.github.io/Logging_OSTHAMMAR/artfynd/A 67855-2021.xlsx")</f>
        <v/>
      </c>
      <c r="T57">
        <f>HYPERLINK("https://klasma.github.io/Logging_OSTHAMMAR/kartor/A 67855-2021.png")</f>
        <v/>
      </c>
      <c r="V57">
        <f>HYPERLINK("https://klasma.github.io/Logging_OSTHAMMAR/klagomål/A 67855-2021.docx")</f>
        <v/>
      </c>
      <c r="W57">
        <f>HYPERLINK("https://klasma.github.io/Logging_OSTHAMMAR/klagomålsmail/A 67855-2021.docx")</f>
        <v/>
      </c>
      <c r="X57">
        <f>HYPERLINK("https://klasma.github.io/Logging_OSTHAMMAR/tillsyn/A 67855-2021.docx")</f>
        <v/>
      </c>
      <c r="Y57">
        <f>HYPERLINK("https://klasma.github.io/Logging_OSTHAMMAR/tillsynsmail/A 67855-2021.docx")</f>
        <v/>
      </c>
    </row>
    <row r="58" ht="15" customHeight="1">
      <c r="A58" t="inlineStr">
        <is>
          <t>A 69241-2021</t>
        </is>
      </c>
      <c r="B58" s="1" t="n">
        <v>44529</v>
      </c>
      <c r="C58" s="1" t="n">
        <v>45180</v>
      </c>
      <c r="D58" t="inlineStr">
        <is>
          <t>UPPSALA LÄN</t>
        </is>
      </c>
      <c r="E58" t="inlineStr">
        <is>
          <t>ÖSTHAMMAR</t>
        </is>
      </c>
      <c r="G58" t="n">
        <v>0.7</v>
      </c>
      <c r="H58" t="n">
        <v>0</v>
      </c>
      <c r="I58" t="n">
        <v>1</v>
      </c>
      <c r="J58" t="n">
        <v>1</v>
      </c>
      <c r="K58" t="n">
        <v>0</v>
      </c>
      <c r="L58" t="n">
        <v>0</v>
      </c>
      <c r="M58" t="n">
        <v>0</v>
      </c>
      <c r="N58" t="n">
        <v>0</v>
      </c>
      <c r="O58" t="n">
        <v>1</v>
      </c>
      <c r="P58" t="n">
        <v>0</v>
      </c>
      <c r="Q58" t="n">
        <v>2</v>
      </c>
      <c r="R58" s="2" t="inlineStr">
        <is>
          <t>Harticka
Zontaggsvamp</t>
        </is>
      </c>
      <c r="S58">
        <f>HYPERLINK("https://klasma.github.io/Logging_OSTHAMMAR/artfynd/A 69241-2021.xlsx")</f>
        <v/>
      </c>
      <c r="T58">
        <f>HYPERLINK("https://klasma.github.io/Logging_OSTHAMMAR/kartor/A 69241-2021.png")</f>
        <v/>
      </c>
      <c r="V58">
        <f>HYPERLINK("https://klasma.github.io/Logging_OSTHAMMAR/klagomål/A 69241-2021.docx")</f>
        <v/>
      </c>
      <c r="W58">
        <f>HYPERLINK("https://klasma.github.io/Logging_OSTHAMMAR/klagomålsmail/A 69241-2021.docx")</f>
        <v/>
      </c>
      <c r="X58">
        <f>HYPERLINK("https://klasma.github.io/Logging_OSTHAMMAR/tillsyn/A 69241-2021.docx")</f>
        <v/>
      </c>
      <c r="Y58">
        <f>HYPERLINK("https://klasma.github.io/Logging_OSTHAMMAR/tillsynsmail/A 69241-2021.docx")</f>
        <v/>
      </c>
    </row>
    <row r="59" ht="15" customHeight="1">
      <c r="A59" t="inlineStr">
        <is>
          <t>A 73981-2021</t>
        </is>
      </c>
      <c r="B59" s="1" t="n">
        <v>44555</v>
      </c>
      <c r="C59" s="1" t="n">
        <v>45180</v>
      </c>
      <c r="D59" t="inlineStr">
        <is>
          <t>UPPSALA LÄN</t>
        </is>
      </c>
      <c r="E59" t="inlineStr">
        <is>
          <t>ÖSTHAMMAR</t>
        </is>
      </c>
      <c r="G59" t="n">
        <v>2.4</v>
      </c>
      <c r="H59" t="n">
        <v>0</v>
      </c>
      <c r="I59" t="n">
        <v>1</v>
      </c>
      <c r="J59" t="n">
        <v>1</v>
      </c>
      <c r="K59" t="n">
        <v>0</v>
      </c>
      <c r="L59" t="n">
        <v>0</v>
      </c>
      <c r="M59" t="n">
        <v>0</v>
      </c>
      <c r="N59" t="n">
        <v>0</v>
      </c>
      <c r="O59" t="n">
        <v>1</v>
      </c>
      <c r="P59" t="n">
        <v>0</v>
      </c>
      <c r="Q59" t="n">
        <v>2</v>
      </c>
      <c r="R59" s="2" t="inlineStr">
        <is>
          <t>Skogsklocka
Vårärt</t>
        </is>
      </c>
      <c r="S59">
        <f>HYPERLINK("https://klasma.github.io/Logging_OSTHAMMAR/artfynd/A 73981-2021.xlsx")</f>
        <v/>
      </c>
      <c r="T59">
        <f>HYPERLINK("https://klasma.github.io/Logging_OSTHAMMAR/kartor/A 73981-2021.png")</f>
        <v/>
      </c>
      <c r="V59">
        <f>HYPERLINK("https://klasma.github.io/Logging_OSTHAMMAR/klagomål/A 73981-2021.docx")</f>
        <v/>
      </c>
      <c r="W59">
        <f>HYPERLINK("https://klasma.github.io/Logging_OSTHAMMAR/klagomålsmail/A 73981-2021.docx")</f>
        <v/>
      </c>
      <c r="X59">
        <f>HYPERLINK("https://klasma.github.io/Logging_OSTHAMMAR/tillsyn/A 73981-2021.docx")</f>
        <v/>
      </c>
      <c r="Y59">
        <f>HYPERLINK("https://klasma.github.io/Logging_OSTHAMMAR/tillsynsmail/A 73981-2021.docx")</f>
        <v/>
      </c>
    </row>
    <row r="60" ht="15" customHeight="1">
      <c r="A60" t="inlineStr">
        <is>
          <t>A 8290-2022</t>
        </is>
      </c>
      <c r="B60" s="1" t="n">
        <v>44610</v>
      </c>
      <c r="C60" s="1" t="n">
        <v>45180</v>
      </c>
      <c r="D60" t="inlineStr">
        <is>
          <t>UPPSALA LÄN</t>
        </is>
      </c>
      <c r="E60" t="inlineStr">
        <is>
          <t>ÖSTHAMMAR</t>
        </is>
      </c>
      <c r="G60" t="n">
        <v>3.5</v>
      </c>
      <c r="H60" t="n">
        <v>0</v>
      </c>
      <c r="I60" t="n">
        <v>1</v>
      </c>
      <c r="J60" t="n">
        <v>0</v>
      </c>
      <c r="K60" t="n">
        <v>1</v>
      </c>
      <c r="L60" t="n">
        <v>0</v>
      </c>
      <c r="M60" t="n">
        <v>0</v>
      </c>
      <c r="N60" t="n">
        <v>0</v>
      </c>
      <c r="O60" t="n">
        <v>1</v>
      </c>
      <c r="P60" t="n">
        <v>1</v>
      </c>
      <c r="Q60" t="n">
        <v>2</v>
      </c>
      <c r="R60" s="2" t="inlineStr">
        <is>
          <t>Gul lammticka
Brandmusseron</t>
        </is>
      </c>
      <c r="S60">
        <f>HYPERLINK("https://klasma.github.io/Logging_OSTHAMMAR/artfynd/A 8290-2022.xlsx")</f>
        <v/>
      </c>
      <c r="T60">
        <f>HYPERLINK("https://klasma.github.io/Logging_OSTHAMMAR/kartor/A 8290-2022.png")</f>
        <v/>
      </c>
      <c r="V60">
        <f>HYPERLINK("https://klasma.github.io/Logging_OSTHAMMAR/klagomål/A 8290-2022.docx")</f>
        <v/>
      </c>
      <c r="W60">
        <f>HYPERLINK("https://klasma.github.io/Logging_OSTHAMMAR/klagomålsmail/A 8290-2022.docx")</f>
        <v/>
      </c>
      <c r="X60">
        <f>HYPERLINK("https://klasma.github.io/Logging_OSTHAMMAR/tillsyn/A 8290-2022.docx")</f>
        <v/>
      </c>
      <c r="Y60">
        <f>HYPERLINK("https://klasma.github.io/Logging_OSTHAMMAR/tillsynsmail/A 8290-2022.docx")</f>
        <v/>
      </c>
    </row>
    <row r="61" ht="15" customHeight="1">
      <c r="A61" t="inlineStr">
        <is>
          <t>A 13287-2022</t>
        </is>
      </c>
      <c r="B61" s="1" t="n">
        <v>44644</v>
      </c>
      <c r="C61" s="1" t="n">
        <v>45180</v>
      </c>
      <c r="D61" t="inlineStr">
        <is>
          <t>UPPSALA LÄN</t>
        </is>
      </c>
      <c r="E61" t="inlineStr">
        <is>
          <t>ÖSTHAMMAR</t>
        </is>
      </c>
      <c r="G61" t="n">
        <v>14.6</v>
      </c>
      <c r="H61" t="n">
        <v>0</v>
      </c>
      <c r="I61" t="n">
        <v>1</v>
      </c>
      <c r="J61" t="n">
        <v>0</v>
      </c>
      <c r="K61" t="n">
        <v>1</v>
      </c>
      <c r="L61" t="n">
        <v>0</v>
      </c>
      <c r="M61" t="n">
        <v>0</v>
      </c>
      <c r="N61" t="n">
        <v>0</v>
      </c>
      <c r="O61" t="n">
        <v>1</v>
      </c>
      <c r="P61" t="n">
        <v>1</v>
      </c>
      <c r="Q61" t="n">
        <v>2</v>
      </c>
      <c r="R61" s="2" t="inlineStr">
        <is>
          <t>Bullspindling
Olivspindling</t>
        </is>
      </c>
      <c r="S61">
        <f>HYPERLINK("https://klasma.github.io/Logging_OSTHAMMAR/artfynd/A 13287-2022.xlsx")</f>
        <v/>
      </c>
      <c r="T61">
        <f>HYPERLINK("https://klasma.github.io/Logging_OSTHAMMAR/kartor/A 13287-2022.png")</f>
        <v/>
      </c>
      <c r="V61">
        <f>HYPERLINK("https://klasma.github.io/Logging_OSTHAMMAR/klagomål/A 13287-2022.docx")</f>
        <v/>
      </c>
      <c r="W61">
        <f>HYPERLINK("https://klasma.github.io/Logging_OSTHAMMAR/klagomålsmail/A 13287-2022.docx")</f>
        <v/>
      </c>
      <c r="X61">
        <f>HYPERLINK("https://klasma.github.io/Logging_OSTHAMMAR/tillsyn/A 13287-2022.docx")</f>
        <v/>
      </c>
      <c r="Y61">
        <f>HYPERLINK("https://klasma.github.io/Logging_OSTHAMMAR/tillsynsmail/A 13287-2022.docx")</f>
        <v/>
      </c>
    </row>
    <row r="62" ht="15" customHeight="1">
      <c r="A62" t="inlineStr">
        <is>
          <t>A 49910-2022</t>
        </is>
      </c>
      <c r="B62" s="1" t="n">
        <v>44865</v>
      </c>
      <c r="C62" s="1" t="n">
        <v>45180</v>
      </c>
      <c r="D62" t="inlineStr">
        <is>
          <t>UPPSALA LÄN</t>
        </is>
      </c>
      <c r="E62" t="inlineStr">
        <is>
          <t>ÖSTHAMMAR</t>
        </is>
      </c>
      <c r="F62" t="inlineStr">
        <is>
          <t>Bergvik skog öst AB</t>
        </is>
      </c>
      <c r="G62" t="n">
        <v>5.7</v>
      </c>
      <c r="H62" t="n">
        <v>2</v>
      </c>
      <c r="I62" t="n">
        <v>0</v>
      </c>
      <c r="J62" t="n">
        <v>2</v>
      </c>
      <c r="K62" t="n">
        <v>0</v>
      </c>
      <c r="L62" t="n">
        <v>0</v>
      </c>
      <c r="M62" t="n">
        <v>0</v>
      </c>
      <c r="N62" t="n">
        <v>0</v>
      </c>
      <c r="O62" t="n">
        <v>2</v>
      </c>
      <c r="P62" t="n">
        <v>0</v>
      </c>
      <c r="Q62" t="n">
        <v>2</v>
      </c>
      <c r="R62" s="2" t="inlineStr">
        <is>
          <t>Svartvit flugsnappare
Sävsparv</t>
        </is>
      </c>
      <c r="S62">
        <f>HYPERLINK("https://klasma.github.io/Logging_OSTHAMMAR/artfynd/A 49910-2022.xlsx")</f>
        <v/>
      </c>
      <c r="T62">
        <f>HYPERLINK("https://klasma.github.io/Logging_OSTHAMMAR/kartor/A 49910-2022.png")</f>
        <v/>
      </c>
      <c r="V62">
        <f>HYPERLINK("https://klasma.github.io/Logging_OSTHAMMAR/klagomål/A 49910-2022.docx")</f>
        <v/>
      </c>
      <c r="W62">
        <f>HYPERLINK("https://klasma.github.io/Logging_OSTHAMMAR/klagomålsmail/A 49910-2022.docx")</f>
        <v/>
      </c>
      <c r="X62">
        <f>HYPERLINK("https://klasma.github.io/Logging_OSTHAMMAR/tillsyn/A 49910-2022.docx")</f>
        <v/>
      </c>
      <c r="Y62">
        <f>HYPERLINK("https://klasma.github.io/Logging_OSTHAMMAR/tillsynsmail/A 49910-2022.docx")</f>
        <v/>
      </c>
    </row>
    <row r="63" ht="15" customHeight="1">
      <c r="A63" t="inlineStr">
        <is>
          <t>A 52658-2022</t>
        </is>
      </c>
      <c r="B63" s="1" t="n">
        <v>44874</v>
      </c>
      <c r="C63" s="1" t="n">
        <v>45180</v>
      </c>
      <c r="D63" t="inlineStr">
        <is>
          <t>UPPSALA LÄN</t>
        </is>
      </c>
      <c r="E63" t="inlineStr">
        <is>
          <t>ÖSTHAMMAR</t>
        </is>
      </c>
      <c r="F63" t="inlineStr">
        <is>
          <t>Bergvik skog öst AB</t>
        </is>
      </c>
      <c r="G63" t="n">
        <v>1.4</v>
      </c>
      <c r="H63" t="n">
        <v>2</v>
      </c>
      <c r="I63" t="n">
        <v>0</v>
      </c>
      <c r="J63" t="n">
        <v>2</v>
      </c>
      <c r="K63" t="n">
        <v>0</v>
      </c>
      <c r="L63" t="n">
        <v>0</v>
      </c>
      <c r="M63" t="n">
        <v>0</v>
      </c>
      <c r="N63" t="n">
        <v>0</v>
      </c>
      <c r="O63" t="n">
        <v>2</v>
      </c>
      <c r="P63" t="n">
        <v>0</v>
      </c>
      <c r="Q63" t="n">
        <v>2</v>
      </c>
      <c r="R63" s="2" t="inlineStr">
        <is>
          <t>Strandskata
Svartvit flugsnappare</t>
        </is>
      </c>
      <c r="S63">
        <f>HYPERLINK("https://klasma.github.io/Logging_OSTHAMMAR/artfynd/A 52658-2022.xlsx")</f>
        <v/>
      </c>
      <c r="T63">
        <f>HYPERLINK("https://klasma.github.io/Logging_OSTHAMMAR/kartor/A 52658-2022.png")</f>
        <v/>
      </c>
      <c r="V63">
        <f>HYPERLINK("https://klasma.github.io/Logging_OSTHAMMAR/klagomål/A 52658-2022.docx")</f>
        <v/>
      </c>
      <c r="W63">
        <f>HYPERLINK("https://klasma.github.io/Logging_OSTHAMMAR/klagomålsmail/A 52658-2022.docx")</f>
        <v/>
      </c>
      <c r="X63">
        <f>HYPERLINK("https://klasma.github.io/Logging_OSTHAMMAR/tillsyn/A 52658-2022.docx")</f>
        <v/>
      </c>
      <c r="Y63">
        <f>HYPERLINK("https://klasma.github.io/Logging_OSTHAMMAR/tillsynsmail/A 52658-2022.docx")</f>
        <v/>
      </c>
    </row>
    <row r="64" ht="15" customHeight="1">
      <c r="A64" t="inlineStr">
        <is>
          <t>A 52654-2022</t>
        </is>
      </c>
      <c r="B64" s="1" t="n">
        <v>44874</v>
      </c>
      <c r="C64" s="1" t="n">
        <v>45180</v>
      </c>
      <c r="D64" t="inlineStr">
        <is>
          <t>UPPSALA LÄN</t>
        </is>
      </c>
      <c r="E64" t="inlineStr">
        <is>
          <t>ÖSTHAMMAR</t>
        </is>
      </c>
      <c r="F64" t="inlineStr">
        <is>
          <t>Bergvik skog öst AB</t>
        </is>
      </c>
      <c r="G64" t="n">
        <v>5.2</v>
      </c>
      <c r="H64" t="n">
        <v>2</v>
      </c>
      <c r="I64" t="n">
        <v>0</v>
      </c>
      <c r="J64" t="n">
        <v>2</v>
      </c>
      <c r="K64" t="n">
        <v>0</v>
      </c>
      <c r="L64" t="n">
        <v>0</v>
      </c>
      <c r="M64" t="n">
        <v>0</v>
      </c>
      <c r="N64" t="n">
        <v>0</v>
      </c>
      <c r="O64" t="n">
        <v>2</v>
      </c>
      <c r="P64" t="n">
        <v>0</v>
      </c>
      <c r="Q64" t="n">
        <v>2</v>
      </c>
      <c r="R64" s="2" t="inlineStr">
        <is>
          <t>Fiskmås
Strandskata</t>
        </is>
      </c>
      <c r="S64">
        <f>HYPERLINK("https://klasma.github.io/Logging_OSTHAMMAR/artfynd/A 52654-2022.xlsx")</f>
        <v/>
      </c>
      <c r="T64">
        <f>HYPERLINK("https://klasma.github.io/Logging_OSTHAMMAR/kartor/A 52654-2022.png")</f>
        <v/>
      </c>
      <c r="V64">
        <f>HYPERLINK("https://klasma.github.io/Logging_OSTHAMMAR/klagomål/A 52654-2022.docx")</f>
        <v/>
      </c>
      <c r="W64">
        <f>HYPERLINK("https://klasma.github.io/Logging_OSTHAMMAR/klagomålsmail/A 52654-2022.docx")</f>
        <v/>
      </c>
      <c r="X64">
        <f>HYPERLINK("https://klasma.github.io/Logging_OSTHAMMAR/tillsyn/A 52654-2022.docx")</f>
        <v/>
      </c>
      <c r="Y64">
        <f>HYPERLINK("https://klasma.github.io/Logging_OSTHAMMAR/tillsynsmail/A 52654-2022.docx")</f>
        <v/>
      </c>
    </row>
    <row r="65" ht="15" customHeight="1">
      <c r="A65" t="inlineStr">
        <is>
          <t>A 6981-2023</t>
        </is>
      </c>
      <c r="B65" s="1" t="n">
        <v>44967</v>
      </c>
      <c r="C65" s="1" t="n">
        <v>45180</v>
      </c>
      <c r="D65" t="inlineStr">
        <is>
          <t>UPPSALA LÄN</t>
        </is>
      </c>
      <c r="E65" t="inlineStr">
        <is>
          <t>ÖSTHAMMAR</t>
        </is>
      </c>
      <c r="G65" t="n">
        <v>3.2</v>
      </c>
      <c r="H65" t="n">
        <v>1</v>
      </c>
      <c r="I65" t="n">
        <v>0</v>
      </c>
      <c r="J65" t="n">
        <v>1</v>
      </c>
      <c r="K65" t="n">
        <v>0</v>
      </c>
      <c r="L65" t="n">
        <v>0</v>
      </c>
      <c r="M65" t="n">
        <v>0</v>
      </c>
      <c r="N65" t="n">
        <v>0</v>
      </c>
      <c r="O65" t="n">
        <v>1</v>
      </c>
      <c r="P65" t="n">
        <v>0</v>
      </c>
      <c r="Q65" t="n">
        <v>2</v>
      </c>
      <c r="R65" s="2" t="inlineStr">
        <is>
          <t>Tallticka
Större vattensalamander</t>
        </is>
      </c>
      <c r="S65">
        <f>HYPERLINK("https://klasma.github.io/Logging_OSTHAMMAR/artfynd/A 6981-2023.xlsx")</f>
        <v/>
      </c>
      <c r="T65">
        <f>HYPERLINK("https://klasma.github.io/Logging_OSTHAMMAR/kartor/A 6981-2023.png")</f>
        <v/>
      </c>
      <c r="V65">
        <f>HYPERLINK("https://klasma.github.io/Logging_OSTHAMMAR/klagomål/A 6981-2023.docx")</f>
        <v/>
      </c>
      <c r="W65">
        <f>HYPERLINK("https://klasma.github.io/Logging_OSTHAMMAR/klagomålsmail/A 6981-2023.docx")</f>
        <v/>
      </c>
      <c r="X65">
        <f>HYPERLINK("https://klasma.github.io/Logging_OSTHAMMAR/tillsyn/A 6981-2023.docx")</f>
        <v/>
      </c>
      <c r="Y65">
        <f>HYPERLINK("https://klasma.github.io/Logging_OSTHAMMAR/tillsynsmail/A 6981-2023.docx")</f>
        <v/>
      </c>
    </row>
    <row r="66" ht="15" customHeight="1">
      <c r="A66" t="inlineStr">
        <is>
          <t>A 20115-2023</t>
        </is>
      </c>
      <c r="B66" s="1" t="n">
        <v>45055</v>
      </c>
      <c r="C66" s="1" t="n">
        <v>45180</v>
      </c>
      <c r="D66" t="inlineStr">
        <is>
          <t>UPPSALA LÄN</t>
        </is>
      </c>
      <c r="E66" t="inlineStr">
        <is>
          <t>ÖSTHAMMAR</t>
        </is>
      </c>
      <c r="G66" t="n">
        <v>13.4</v>
      </c>
      <c r="H66" t="n">
        <v>0</v>
      </c>
      <c r="I66" t="n">
        <v>0</v>
      </c>
      <c r="J66" t="n">
        <v>2</v>
      </c>
      <c r="K66" t="n">
        <v>0</v>
      </c>
      <c r="L66" t="n">
        <v>0</v>
      </c>
      <c r="M66" t="n">
        <v>0</v>
      </c>
      <c r="N66" t="n">
        <v>0</v>
      </c>
      <c r="O66" t="n">
        <v>2</v>
      </c>
      <c r="P66" t="n">
        <v>0</v>
      </c>
      <c r="Q66" t="n">
        <v>2</v>
      </c>
      <c r="R66" s="2" t="inlineStr">
        <is>
          <t>Grantaggsvamp
Leopardsköldbagge</t>
        </is>
      </c>
      <c r="S66">
        <f>HYPERLINK("https://klasma.github.io/Logging_OSTHAMMAR/artfynd/A 20115-2023.xlsx")</f>
        <v/>
      </c>
      <c r="T66">
        <f>HYPERLINK("https://klasma.github.io/Logging_OSTHAMMAR/kartor/A 20115-2023.png")</f>
        <v/>
      </c>
      <c r="V66">
        <f>HYPERLINK("https://klasma.github.io/Logging_OSTHAMMAR/klagomål/A 20115-2023.docx")</f>
        <v/>
      </c>
      <c r="W66">
        <f>HYPERLINK("https://klasma.github.io/Logging_OSTHAMMAR/klagomålsmail/A 20115-2023.docx")</f>
        <v/>
      </c>
      <c r="X66">
        <f>HYPERLINK("https://klasma.github.io/Logging_OSTHAMMAR/tillsyn/A 20115-2023.docx")</f>
        <v/>
      </c>
      <c r="Y66">
        <f>HYPERLINK("https://klasma.github.io/Logging_OSTHAMMAR/tillsynsmail/A 20115-2023.docx")</f>
        <v/>
      </c>
    </row>
    <row r="67" ht="15" customHeight="1">
      <c r="A67" t="inlineStr">
        <is>
          <t>A 21422-2023</t>
        </is>
      </c>
      <c r="B67" s="1" t="n">
        <v>45063</v>
      </c>
      <c r="C67" s="1" t="n">
        <v>45180</v>
      </c>
      <c r="D67" t="inlineStr">
        <is>
          <t>UPPSALA LÄN</t>
        </is>
      </c>
      <c r="E67" t="inlineStr">
        <is>
          <t>ÖSTHAMMAR</t>
        </is>
      </c>
      <c r="F67" t="inlineStr">
        <is>
          <t>Sveaskog</t>
        </is>
      </c>
      <c r="G67" t="n">
        <v>2.8</v>
      </c>
      <c r="H67" t="n">
        <v>2</v>
      </c>
      <c r="I67" t="n">
        <v>0</v>
      </c>
      <c r="J67" t="n">
        <v>1</v>
      </c>
      <c r="K67" t="n">
        <v>0</v>
      </c>
      <c r="L67" t="n">
        <v>0</v>
      </c>
      <c r="M67" t="n">
        <v>0</v>
      </c>
      <c r="N67" t="n">
        <v>0</v>
      </c>
      <c r="O67" t="n">
        <v>1</v>
      </c>
      <c r="P67" t="n">
        <v>0</v>
      </c>
      <c r="Q67" t="n">
        <v>2</v>
      </c>
      <c r="R67" s="2" t="inlineStr">
        <is>
          <t>Nordfladdermus
Dvärgpipistrell</t>
        </is>
      </c>
      <c r="S67">
        <f>HYPERLINK("https://klasma.github.io/Logging_OSTHAMMAR/artfynd/A 21422-2023.xlsx")</f>
        <v/>
      </c>
      <c r="T67">
        <f>HYPERLINK("https://klasma.github.io/Logging_OSTHAMMAR/kartor/A 21422-2023.png")</f>
        <v/>
      </c>
      <c r="V67">
        <f>HYPERLINK("https://klasma.github.io/Logging_OSTHAMMAR/klagomål/A 21422-2023.docx")</f>
        <v/>
      </c>
      <c r="W67">
        <f>HYPERLINK("https://klasma.github.io/Logging_OSTHAMMAR/klagomålsmail/A 21422-2023.docx")</f>
        <v/>
      </c>
      <c r="X67">
        <f>HYPERLINK("https://klasma.github.io/Logging_OSTHAMMAR/tillsyn/A 21422-2023.docx")</f>
        <v/>
      </c>
      <c r="Y67">
        <f>HYPERLINK("https://klasma.github.io/Logging_OSTHAMMAR/tillsynsmail/A 21422-2023.docx")</f>
        <v/>
      </c>
    </row>
    <row r="68" ht="15" customHeight="1">
      <c r="A68" t="inlineStr">
        <is>
          <t>A 26602-2023</t>
        </is>
      </c>
      <c r="B68" s="1" t="n">
        <v>45092</v>
      </c>
      <c r="C68" s="1" t="n">
        <v>45180</v>
      </c>
      <c r="D68" t="inlineStr">
        <is>
          <t>UPPSALA LÄN</t>
        </is>
      </c>
      <c r="E68" t="inlineStr">
        <is>
          <t>ÖSTHAMMAR</t>
        </is>
      </c>
      <c r="F68" t="inlineStr">
        <is>
          <t>Sveaskog</t>
        </is>
      </c>
      <c r="G68" t="n">
        <v>1.6</v>
      </c>
      <c r="H68" t="n">
        <v>2</v>
      </c>
      <c r="I68" t="n">
        <v>0</v>
      </c>
      <c r="J68" t="n">
        <v>2</v>
      </c>
      <c r="K68" t="n">
        <v>0</v>
      </c>
      <c r="L68" t="n">
        <v>0</v>
      </c>
      <c r="M68" t="n">
        <v>0</v>
      </c>
      <c r="N68" t="n">
        <v>0</v>
      </c>
      <c r="O68" t="n">
        <v>2</v>
      </c>
      <c r="P68" t="n">
        <v>0</v>
      </c>
      <c r="Q68" t="n">
        <v>2</v>
      </c>
      <c r="R68" s="2" t="inlineStr">
        <is>
          <t>Gulsparv
Skrattmås</t>
        </is>
      </c>
      <c r="S68">
        <f>HYPERLINK("https://klasma.github.io/Logging_OSTHAMMAR/artfynd/A 26602-2023.xlsx")</f>
        <v/>
      </c>
      <c r="T68">
        <f>HYPERLINK("https://klasma.github.io/Logging_OSTHAMMAR/kartor/A 26602-2023.png")</f>
        <v/>
      </c>
      <c r="V68">
        <f>HYPERLINK("https://klasma.github.io/Logging_OSTHAMMAR/klagomål/A 26602-2023.docx")</f>
        <v/>
      </c>
      <c r="W68">
        <f>HYPERLINK("https://klasma.github.io/Logging_OSTHAMMAR/klagomålsmail/A 26602-2023.docx")</f>
        <v/>
      </c>
      <c r="X68">
        <f>HYPERLINK("https://klasma.github.io/Logging_OSTHAMMAR/tillsyn/A 26602-2023.docx")</f>
        <v/>
      </c>
      <c r="Y68">
        <f>HYPERLINK("https://klasma.github.io/Logging_OSTHAMMAR/tillsynsmail/A 26602-2023.docx")</f>
        <v/>
      </c>
    </row>
    <row r="69" ht="15" customHeight="1">
      <c r="A69" t="inlineStr">
        <is>
          <t>A 36876-2023</t>
        </is>
      </c>
      <c r="B69" s="1" t="n">
        <v>45154</v>
      </c>
      <c r="C69" s="1" t="n">
        <v>45180</v>
      </c>
      <c r="D69" t="inlineStr">
        <is>
          <t>UPPSALA LÄN</t>
        </is>
      </c>
      <c r="E69" t="inlineStr">
        <is>
          <t>ÖSTHAMMAR</t>
        </is>
      </c>
      <c r="F69" t="inlineStr">
        <is>
          <t>Övriga Aktiebolag</t>
        </is>
      </c>
      <c r="G69" t="n">
        <v>12.6</v>
      </c>
      <c r="H69" t="n">
        <v>1</v>
      </c>
      <c r="I69" t="n">
        <v>0</v>
      </c>
      <c r="J69" t="n">
        <v>2</v>
      </c>
      <c r="K69" t="n">
        <v>0</v>
      </c>
      <c r="L69" t="n">
        <v>0</v>
      </c>
      <c r="M69" t="n">
        <v>0</v>
      </c>
      <c r="N69" t="n">
        <v>0</v>
      </c>
      <c r="O69" t="n">
        <v>2</v>
      </c>
      <c r="P69" t="n">
        <v>0</v>
      </c>
      <c r="Q69" t="n">
        <v>2</v>
      </c>
      <c r="R69" s="2" t="inlineStr">
        <is>
          <t>Slaguggla
Slåtterfibbla</t>
        </is>
      </c>
      <c r="S69">
        <f>HYPERLINK("https://klasma.github.io/Logging_OSTHAMMAR/artfynd/A 36876-2023.xlsx")</f>
        <v/>
      </c>
      <c r="T69">
        <f>HYPERLINK("https://klasma.github.io/Logging_OSTHAMMAR/kartor/A 36876-2023.png")</f>
        <v/>
      </c>
      <c r="V69">
        <f>HYPERLINK("https://klasma.github.io/Logging_OSTHAMMAR/klagomål/A 36876-2023.docx")</f>
        <v/>
      </c>
      <c r="W69">
        <f>HYPERLINK("https://klasma.github.io/Logging_OSTHAMMAR/klagomålsmail/A 36876-2023.docx")</f>
        <v/>
      </c>
      <c r="X69">
        <f>HYPERLINK("https://klasma.github.io/Logging_OSTHAMMAR/tillsyn/A 36876-2023.docx")</f>
        <v/>
      </c>
      <c r="Y69">
        <f>HYPERLINK("https://klasma.github.io/Logging_OSTHAMMAR/tillsynsmail/A 36876-2023.docx")</f>
        <v/>
      </c>
    </row>
    <row r="70" ht="15" customHeight="1">
      <c r="A70" t="inlineStr">
        <is>
          <t>A 47201-2018</t>
        </is>
      </c>
      <c r="B70" s="1" t="n">
        <v>43369</v>
      </c>
      <c r="C70" s="1" t="n">
        <v>45180</v>
      </c>
      <c r="D70" t="inlineStr">
        <is>
          <t>UPPSALA LÄN</t>
        </is>
      </c>
      <c r="E70" t="inlineStr">
        <is>
          <t>ÖSTHAMMAR</t>
        </is>
      </c>
      <c r="F70" t="inlineStr">
        <is>
          <t>Kyrkan</t>
        </is>
      </c>
      <c r="G70" t="n">
        <v>9.6</v>
      </c>
      <c r="H70" t="n">
        <v>0</v>
      </c>
      <c r="I70" t="n">
        <v>0</v>
      </c>
      <c r="J70" t="n">
        <v>1</v>
      </c>
      <c r="K70" t="n">
        <v>0</v>
      </c>
      <c r="L70" t="n">
        <v>0</v>
      </c>
      <c r="M70" t="n">
        <v>0</v>
      </c>
      <c r="N70" t="n">
        <v>0</v>
      </c>
      <c r="O70" t="n">
        <v>1</v>
      </c>
      <c r="P70" t="n">
        <v>0</v>
      </c>
      <c r="Q70" t="n">
        <v>1</v>
      </c>
      <c r="R70" s="2" t="inlineStr">
        <is>
          <t>Korskovall</t>
        </is>
      </c>
      <c r="S70">
        <f>HYPERLINK("https://klasma.github.io/Logging_OSTHAMMAR/artfynd/A 47201-2018.xlsx")</f>
        <v/>
      </c>
      <c r="T70">
        <f>HYPERLINK("https://klasma.github.io/Logging_OSTHAMMAR/kartor/A 47201-2018.png")</f>
        <v/>
      </c>
      <c r="U70">
        <f>HYPERLINK("https://klasma.github.io/Logging_OSTHAMMAR/knärot/A 47201-2018.png")</f>
        <v/>
      </c>
      <c r="V70">
        <f>HYPERLINK("https://klasma.github.io/Logging_OSTHAMMAR/klagomål/A 47201-2018.docx")</f>
        <v/>
      </c>
      <c r="W70">
        <f>HYPERLINK("https://klasma.github.io/Logging_OSTHAMMAR/klagomålsmail/A 47201-2018.docx")</f>
        <v/>
      </c>
      <c r="X70">
        <f>HYPERLINK("https://klasma.github.io/Logging_OSTHAMMAR/tillsyn/A 47201-2018.docx")</f>
        <v/>
      </c>
      <c r="Y70">
        <f>HYPERLINK("https://klasma.github.io/Logging_OSTHAMMAR/tillsynsmail/A 47201-2018.docx")</f>
        <v/>
      </c>
    </row>
    <row r="71" ht="15" customHeight="1">
      <c r="A71" t="inlineStr">
        <is>
          <t>A 72543-2018</t>
        </is>
      </c>
      <c r="B71" s="1" t="n">
        <v>43462</v>
      </c>
      <c r="C71" s="1" t="n">
        <v>45180</v>
      </c>
      <c r="D71" t="inlineStr">
        <is>
          <t>UPPSALA LÄN</t>
        </is>
      </c>
      <c r="E71" t="inlineStr">
        <is>
          <t>ÖSTHAMMAR</t>
        </is>
      </c>
      <c r="G71" t="n">
        <v>1.9</v>
      </c>
      <c r="H71" t="n">
        <v>0</v>
      </c>
      <c r="I71" t="n">
        <v>1</v>
      </c>
      <c r="J71" t="n">
        <v>0</v>
      </c>
      <c r="K71" t="n">
        <v>0</v>
      </c>
      <c r="L71" t="n">
        <v>0</v>
      </c>
      <c r="M71" t="n">
        <v>0</v>
      </c>
      <c r="N71" t="n">
        <v>0</v>
      </c>
      <c r="O71" t="n">
        <v>0</v>
      </c>
      <c r="P71" t="n">
        <v>0</v>
      </c>
      <c r="Q71" t="n">
        <v>1</v>
      </c>
      <c r="R71" s="2" t="inlineStr">
        <is>
          <t>Korallblylav</t>
        </is>
      </c>
      <c r="S71">
        <f>HYPERLINK("https://klasma.github.io/Logging_OSTHAMMAR/artfynd/A 72543-2018.xlsx")</f>
        <v/>
      </c>
      <c r="T71">
        <f>HYPERLINK("https://klasma.github.io/Logging_OSTHAMMAR/kartor/A 72543-2018.png")</f>
        <v/>
      </c>
      <c r="V71">
        <f>HYPERLINK("https://klasma.github.io/Logging_OSTHAMMAR/klagomål/A 72543-2018.docx")</f>
        <v/>
      </c>
      <c r="W71">
        <f>HYPERLINK("https://klasma.github.io/Logging_OSTHAMMAR/klagomålsmail/A 72543-2018.docx")</f>
        <v/>
      </c>
      <c r="X71">
        <f>HYPERLINK("https://klasma.github.io/Logging_OSTHAMMAR/tillsyn/A 72543-2018.docx")</f>
        <v/>
      </c>
      <c r="Y71">
        <f>HYPERLINK("https://klasma.github.io/Logging_OSTHAMMAR/tillsynsmail/A 72543-2018.docx")</f>
        <v/>
      </c>
    </row>
    <row r="72" ht="15" customHeight="1">
      <c r="A72" t="inlineStr">
        <is>
          <t>A 463-2019</t>
        </is>
      </c>
      <c r="B72" s="1" t="n">
        <v>43468</v>
      </c>
      <c r="C72" s="1" t="n">
        <v>45180</v>
      </c>
      <c r="D72" t="inlineStr">
        <is>
          <t>UPPSALA LÄN</t>
        </is>
      </c>
      <c r="E72" t="inlineStr">
        <is>
          <t>ÖSTHAMMAR</t>
        </is>
      </c>
      <c r="G72" t="n">
        <v>1</v>
      </c>
      <c r="H72" t="n">
        <v>1</v>
      </c>
      <c r="I72" t="n">
        <v>1</v>
      </c>
      <c r="J72" t="n">
        <v>0</v>
      </c>
      <c r="K72" t="n">
        <v>0</v>
      </c>
      <c r="L72" t="n">
        <v>0</v>
      </c>
      <c r="M72" t="n">
        <v>0</v>
      </c>
      <c r="N72" t="n">
        <v>0</v>
      </c>
      <c r="O72" t="n">
        <v>0</v>
      </c>
      <c r="P72" t="n">
        <v>0</v>
      </c>
      <c r="Q72" t="n">
        <v>1</v>
      </c>
      <c r="R72" s="2" t="inlineStr">
        <is>
          <t>Guckusko</t>
        </is>
      </c>
      <c r="S72">
        <f>HYPERLINK("https://klasma.github.io/Logging_OSTHAMMAR/artfynd/A 463-2019.xlsx")</f>
        <v/>
      </c>
      <c r="T72">
        <f>HYPERLINK("https://klasma.github.io/Logging_OSTHAMMAR/kartor/A 463-2019.png")</f>
        <v/>
      </c>
      <c r="V72">
        <f>HYPERLINK("https://klasma.github.io/Logging_OSTHAMMAR/klagomål/A 463-2019.docx")</f>
        <v/>
      </c>
      <c r="W72">
        <f>HYPERLINK("https://klasma.github.io/Logging_OSTHAMMAR/klagomålsmail/A 463-2019.docx")</f>
        <v/>
      </c>
      <c r="X72">
        <f>HYPERLINK("https://klasma.github.io/Logging_OSTHAMMAR/tillsyn/A 463-2019.docx")</f>
        <v/>
      </c>
      <c r="Y72">
        <f>HYPERLINK("https://klasma.github.io/Logging_OSTHAMMAR/tillsynsmail/A 463-2019.docx")</f>
        <v/>
      </c>
    </row>
    <row r="73" ht="15" customHeight="1">
      <c r="A73" t="inlineStr">
        <is>
          <t>A 15000-2019</t>
        </is>
      </c>
      <c r="B73" s="1" t="n">
        <v>43538</v>
      </c>
      <c r="C73" s="1" t="n">
        <v>45180</v>
      </c>
      <c r="D73" t="inlineStr">
        <is>
          <t>UPPSALA LÄN</t>
        </is>
      </c>
      <c r="E73" t="inlineStr">
        <is>
          <t>ÖSTHAMMAR</t>
        </is>
      </c>
      <c r="G73" t="n">
        <v>12.3</v>
      </c>
      <c r="H73" t="n">
        <v>1</v>
      </c>
      <c r="I73" t="n">
        <v>1</v>
      </c>
      <c r="J73" t="n">
        <v>0</v>
      </c>
      <c r="K73" t="n">
        <v>0</v>
      </c>
      <c r="L73" t="n">
        <v>0</v>
      </c>
      <c r="M73" t="n">
        <v>0</v>
      </c>
      <c r="N73" t="n">
        <v>0</v>
      </c>
      <c r="O73" t="n">
        <v>0</v>
      </c>
      <c r="P73" t="n">
        <v>0</v>
      </c>
      <c r="Q73" t="n">
        <v>1</v>
      </c>
      <c r="R73" s="2" t="inlineStr">
        <is>
          <t>Guckusko</t>
        </is>
      </c>
      <c r="S73">
        <f>HYPERLINK("https://klasma.github.io/Logging_OSTHAMMAR/artfynd/A 15000-2019.xlsx")</f>
        <v/>
      </c>
      <c r="T73">
        <f>HYPERLINK("https://klasma.github.io/Logging_OSTHAMMAR/kartor/A 15000-2019.png")</f>
        <v/>
      </c>
      <c r="V73">
        <f>HYPERLINK("https://klasma.github.io/Logging_OSTHAMMAR/klagomål/A 15000-2019.docx")</f>
        <v/>
      </c>
      <c r="W73">
        <f>HYPERLINK("https://klasma.github.io/Logging_OSTHAMMAR/klagomålsmail/A 15000-2019.docx")</f>
        <v/>
      </c>
      <c r="X73">
        <f>HYPERLINK("https://klasma.github.io/Logging_OSTHAMMAR/tillsyn/A 15000-2019.docx")</f>
        <v/>
      </c>
      <c r="Y73">
        <f>HYPERLINK("https://klasma.github.io/Logging_OSTHAMMAR/tillsynsmail/A 15000-2019.docx")</f>
        <v/>
      </c>
    </row>
    <row r="74" ht="15" customHeight="1">
      <c r="A74" t="inlineStr">
        <is>
          <t>A 38957-2019</t>
        </is>
      </c>
      <c r="B74" s="1" t="n">
        <v>43689</v>
      </c>
      <c r="C74" s="1" t="n">
        <v>45180</v>
      </c>
      <c r="D74" t="inlineStr">
        <is>
          <t>UPPSALA LÄN</t>
        </is>
      </c>
      <c r="E74" t="inlineStr">
        <is>
          <t>ÖSTHAMMAR</t>
        </is>
      </c>
      <c r="G74" t="n">
        <v>1.9</v>
      </c>
      <c r="H74" t="n">
        <v>0</v>
      </c>
      <c r="I74" t="n">
        <v>0</v>
      </c>
      <c r="J74" t="n">
        <v>1</v>
      </c>
      <c r="K74" t="n">
        <v>0</v>
      </c>
      <c r="L74" t="n">
        <v>0</v>
      </c>
      <c r="M74" t="n">
        <v>0</v>
      </c>
      <c r="N74" t="n">
        <v>0</v>
      </c>
      <c r="O74" t="n">
        <v>1</v>
      </c>
      <c r="P74" t="n">
        <v>0</v>
      </c>
      <c r="Q74" t="n">
        <v>1</v>
      </c>
      <c r="R74" s="2" t="inlineStr">
        <is>
          <t>Bredbrämad bastardsvärmare</t>
        </is>
      </c>
      <c r="S74">
        <f>HYPERLINK("https://klasma.github.io/Logging_OSTHAMMAR/artfynd/A 38957-2019.xlsx")</f>
        <v/>
      </c>
      <c r="T74">
        <f>HYPERLINK("https://klasma.github.io/Logging_OSTHAMMAR/kartor/A 38957-2019.png")</f>
        <v/>
      </c>
      <c r="V74">
        <f>HYPERLINK("https://klasma.github.io/Logging_OSTHAMMAR/klagomål/A 38957-2019.docx")</f>
        <v/>
      </c>
      <c r="W74">
        <f>HYPERLINK("https://klasma.github.io/Logging_OSTHAMMAR/klagomålsmail/A 38957-2019.docx")</f>
        <v/>
      </c>
      <c r="X74">
        <f>HYPERLINK("https://klasma.github.io/Logging_OSTHAMMAR/tillsyn/A 38957-2019.docx")</f>
        <v/>
      </c>
      <c r="Y74">
        <f>HYPERLINK("https://klasma.github.io/Logging_OSTHAMMAR/tillsynsmail/A 38957-2019.docx")</f>
        <v/>
      </c>
    </row>
    <row r="75" ht="15" customHeight="1">
      <c r="A75" t="inlineStr">
        <is>
          <t>A 52004-2019</t>
        </is>
      </c>
      <c r="B75" s="1" t="n">
        <v>43742</v>
      </c>
      <c r="C75" s="1" t="n">
        <v>45180</v>
      </c>
      <c r="D75" t="inlineStr">
        <is>
          <t>UPPSALA LÄN</t>
        </is>
      </c>
      <c r="E75" t="inlineStr">
        <is>
          <t>ÖSTHAMMAR</t>
        </is>
      </c>
      <c r="G75" t="n">
        <v>2.5</v>
      </c>
      <c r="H75" t="n">
        <v>1</v>
      </c>
      <c r="I75" t="n">
        <v>0</v>
      </c>
      <c r="J75" t="n">
        <v>0</v>
      </c>
      <c r="K75" t="n">
        <v>0</v>
      </c>
      <c r="L75" t="n">
        <v>0</v>
      </c>
      <c r="M75" t="n">
        <v>0</v>
      </c>
      <c r="N75" t="n">
        <v>0</v>
      </c>
      <c r="O75" t="n">
        <v>0</v>
      </c>
      <c r="P75" t="n">
        <v>0</v>
      </c>
      <c r="Q75" t="n">
        <v>1</v>
      </c>
      <c r="R75" s="2" t="inlineStr">
        <is>
          <t>Revlummer</t>
        </is>
      </c>
      <c r="S75">
        <f>HYPERLINK("https://klasma.github.io/Logging_OSTHAMMAR/artfynd/A 52004-2019.xlsx")</f>
        <v/>
      </c>
      <c r="T75">
        <f>HYPERLINK("https://klasma.github.io/Logging_OSTHAMMAR/kartor/A 52004-2019.png")</f>
        <v/>
      </c>
      <c r="V75">
        <f>HYPERLINK("https://klasma.github.io/Logging_OSTHAMMAR/klagomål/A 52004-2019.docx")</f>
        <v/>
      </c>
      <c r="W75">
        <f>HYPERLINK("https://klasma.github.io/Logging_OSTHAMMAR/klagomålsmail/A 52004-2019.docx")</f>
        <v/>
      </c>
      <c r="X75">
        <f>HYPERLINK("https://klasma.github.io/Logging_OSTHAMMAR/tillsyn/A 52004-2019.docx")</f>
        <v/>
      </c>
      <c r="Y75">
        <f>HYPERLINK("https://klasma.github.io/Logging_OSTHAMMAR/tillsynsmail/A 52004-2019.docx")</f>
        <v/>
      </c>
    </row>
    <row r="76" ht="15" customHeight="1">
      <c r="A76" t="inlineStr">
        <is>
          <t>A 22044-2020</t>
        </is>
      </c>
      <c r="B76" s="1" t="n">
        <v>43959</v>
      </c>
      <c r="C76" s="1" t="n">
        <v>45180</v>
      </c>
      <c r="D76" t="inlineStr">
        <is>
          <t>UPPSALA LÄN</t>
        </is>
      </c>
      <c r="E76" t="inlineStr">
        <is>
          <t>ÖSTHAMMAR</t>
        </is>
      </c>
      <c r="G76" t="n">
        <v>2.7</v>
      </c>
      <c r="H76" t="n">
        <v>0</v>
      </c>
      <c r="I76" t="n">
        <v>1</v>
      </c>
      <c r="J76" t="n">
        <v>0</v>
      </c>
      <c r="K76" t="n">
        <v>0</v>
      </c>
      <c r="L76" t="n">
        <v>0</v>
      </c>
      <c r="M76" t="n">
        <v>0</v>
      </c>
      <c r="N76" t="n">
        <v>0</v>
      </c>
      <c r="O76" t="n">
        <v>0</v>
      </c>
      <c r="P76" t="n">
        <v>0</v>
      </c>
      <c r="Q76" t="n">
        <v>1</v>
      </c>
      <c r="R76" s="2" t="inlineStr">
        <is>
          <t>Anisspindling</t>
        </is>
      </c>
      <c r="S76">
        <f>HYPERLINK("https://klasma.github.io/Logging_OSTHAMMAR/artfynd/A 22044-2020.xlsx")</f>
        <v/>
      </c>
      <c r="T76">
        <f>HYPERLINK("https://klasma.github.io/Logging_OSTHAMMAR/kartor/A 22044-2020.png")</f>
        <v/>
      </c>
      <c r="V76">
        <f>HYPERLINK("https://klasma.github.io/Logging_OSTHAMMAR/klagomål/A 22044-2020.docx")</f>
        <v/>
      </c>
      <c r="W76">
        <f>HYPERLINK("https://klasma.github.io/Logging_OSTHAMMAR/klagomålsmail/A 22044-2020.docx")</f>
        <v/>
      </c>
      <c r="X76">
        <f>HYPERLINK("https://klasma.github.io/Logging_OSTHAMMAR/tillsyn/A 22044-2020.docx")</f>
        <v/>
      </c>
      <c r="Y76">
        <f>HYPERLINK("https://klasma.github.io/Logging_OSTHAMMAR/tillsynsmail/A 22044-2020.docx")</f>
        <v/>
      </c>
    </row>
    <row r="77" ht="15" customHeight="1">
      <c r="A77" t="inlineStr">
        <is>
          <t>A 30405-2020</t>
        </is>
      </c>
      <c r="B77" s="1" t="n">
        <v>44007</v>
      </c>
      <c r="C77" s="1" t="n">
        <v>45180</v>
      </c>
      <c r="D77" t="inlineStr">
        <is>
          <t>UPPSALA LÄN</t>
        </is>
      </c>
      <c r="E77" t="inlineStr">
        <is>
          <t>ÖSTHAMMAR</t>
        </is>
      </c>
      <c r="G77" t="n">
        <v>0.6</v>
      </c>
      <c r="H77" t="n">
        <v>0</v>
      </c>
      <c r="I77" t="n">
        <v>0</v>
      </c>
      <c r="J77" t="n">
        <v>0</v>
      </c>
      <c r="K77" t="n">
        <v>1</v>
      </c>
      <c r="L77" t="n">
        <v>0</v>
      </c>
      <c r="M77" t="n">
        <v>0</v>
      </c>
      <c r="N77" t="n">
        <v>0</v>
      </c>
      <c r="O77" t="n">
        <v>1</v>
      </c>
      <c r="P77" t="n">
        <v>1</v>
      </c>
      <c r="Q77" t="n">
        <v>1</v>
      </c>
      <c r="R77" s="2" t="inlineStr">
        <is>
          <t>Gulvit blekspik</t>
        </is>
      </c>
      <c r="S77">
        <f>HYPERLINK("https://klasma.github.io/Logging_OSTHAMMAR/artfynd/A 30405-2020.xlsx")</f>
        <v/>
      </c>
      <c r="T77">
        <f>HYPERLINK("https://klasma.github.io/Logging_OSTHAMMAR/kartor/A 30405-2020.png")</f>
        <v/>
      </c>
      <c r="V77">
        <f>HYPERLINK("https://klasma.github.io/Logging_OSTHAMMAR/klagomål/A 30405-2020.docx")</f>
        <v/>
      </c>
      <c r="W77">
        <f>HYPERLINK("https://klasma.github.io/Logging_OSTHAMMAR/klagomålsmail/A 30405-2020.docx")</f>
        <v/>
      </c>
      <c r="X77">
        <f>HYPERLINK("https://klasma.github.io/Logging_OSTHAMMAR/tillsyn/A 30405-2020.docx")</f>
        <v/>
      </c>
      <c r="Y77">
        <f>HYPERLINK("https://klasma.github.io/Logging_OSTHAMMAR/tillsynsmail/A 30405-2020.docx")</f>
        <v/>
      </c>
    </row>
    <row r="78" ht="15" customHeight="1">
      <c r="A78" t="inlineStr">
        <is>
          <t>A 45714-2020</t>
        </is>
      </c>
      <c r="B78" s="1" t="n">
        <v>44090</v>
      </c>
      <c r="C78" s="1" t="n">
        <v>45180</v>
      </c>
      <c r="D78" t="inlineStr">
        <is>
          <t>UPPSALA LÄN</t>
        </is>
      </c>
      <c r="E78" t="inlineStr">
        <is>
          <t>ÖSTHAMMAR</t>
        </is>
      </c>
      <c r="F78" t="inlineStr">
        <is>
          <t>Övriga Aktiebolag</t>
        </is>
      </c>
      <c r="G78" t="n">
        <v>10.8</v>
      </c>
      <c r="H78" t="n">
        <v>0</v>
      </c>
      <c r="I78" t="n">
        <v>0</v>
      </c>
      <c r="J78" t="n">
        <v>1</v>
      </c>
      <c r="K78" t="n">
        <v>0</v>
      </c>
      <c r="L78" t="n">
        <v>0</v>
      </c>
      <c r="M78" t="n">
        <v>0</v>
      </c>
      <c r="N78" t="n">
        <v>0</v>
      </c>
      <c r="O78" t="n">
        <v>1</v>
      </c>
      <c r="P78" t="n">
        <v>0</v>
      </c>
      <c r="Q78" t="n">
        <v>1</v>
      </c>
      <c r="R78" s="2" t="inlineStr">
        <is>
          <t>Slåtterfibbla</t>
        </is>
      </c>
      <c r="S78">
        <f>HYPERLINK("https://klasma.github.io/Logging_OSTHAMMAR/artfynd/A 45714-2020.xlsx")</f>
        <v/>
      </c>
      <c r="T78">
        <f>HYPERLINK("https://klasma.github.io/Logging_OSTHAMMAR/kartor/A 45714-2020.png")</f>
        <v/>
      </c>
      <c r="V78">
        <f>HYPERLINK("https://klasma.github.io/Logging_OSTHAMMAR/klagomål/A 45714-2020.docx")</f>
        <v/>
      </c>
      <c r="W78">
        <f>HYPERLINK("https://klasma.github.io/Logging_OSTHAMMAR/klagomålsmail/A 45714-2020.docx")</f>
        <v/>
      </c>
      <c r="X78">
        <f>HYPERLINK("https://klasma.github.io/Logging_OSTHAMMAR/tillsyn/A 45714-2020.docx")</f>
        <v/>
      </c>
      <c r="Y78">
        <f>HYPERLINK("https://klasma.github.io/Logging_OSTHAMMAR/tillsynsmail/A 45714-2020.docx")</f>
        <v/>
      </c>
    </row>
    <row r="79" ht="15" customHeight="1">
      <c r="A79" t="inlineStr">
        <is>
          <t>A 61479-2020</t>
        </is>
      </c>
      <c r="B79" s="1" t="n">
        <v>44154</v>
      </c>
      <c r="C79" s="1" t="n">
        <v>45180</v>
      </c>
      <c r="D79" t="inlineStr">
        <is>
          <t>UPPSALA LÄN</t>
        </is>
      </c>
      <c r="E79" t="inlineStr">
        <is>
          <t>ÖSTHAMMAR</t>
        </is>
      </c>
      <c r="G79" t="n">
        <v>2.5</v>
      </c>
      <c r="H79" t="n">
        <v>0</v>
      </c>
      <c r="I79" t="n">
        <v>1</v>
      </c>
      <c r="J79" t="n">
        <v>0</v>
      </c>
      <c r="K79" t="n">
        <v>0</v>
      </c>
      <c r="L79" t="n">
        <v>0</v>
      </c>
      <c r="M79" t="n">
        <v>0</v>
      </c>
      <c r="N79" t="n">
        <v>0</v>
      </c>
      <c r="O79" t="n">
        <v>0</v>
      </c>
      <c r="P79" t="n">
        <v>0</v>
      </c>
      <c r="Q79" t="n">
        <v>1</v>
      </c>
      <c r="R79" s="2" t="inlineStr">
        <is>
          <t>Olivspindling</t>
        </is>
      </c>
      <c r="S79">
        <f>HYPERLINK("https://klasma.github.io/Logging_OSTHAMMAR/artfynd/A 61479-2020.xlsx")</f>
        <v/>
      </c>
      <c r="T79">
        <f>HYPERLINK("https://klasma.github.io/Logging_OSTHAMMAR/kartor/A 61479-2020.png")</f>
        <v/>
      </c>
      <c r="V79">
        <f>HYPERLINK("https://klasma.github.io/Logging_OSTHAMMAR/klagomål/A 61479-2020.docx")</f>
        <v/>
      </c>
      <c r="W79">
        <f>HYPERLINK("https://klasma.github.io/Logging_OSTHAMMAR/klagomålsmail/A 61479-2020.docx")</f>
        <v/>
      </c>
      <c r="X79">
        <f>HYPERLINK("https://klasma.github.io/Logging_OSTHAMMAR/tillsyn/A 61479-2020.docx")</f>
        <v/>
      </c>
      <c r="Y79">
        <f>HYPERLINK("https://klasma.github.io/Logging_OSTHAMMAR/tillsynsmail/A 61479-2020.docx")</f>
        <v/>
      </c>
    </row>
    <row r="80" ht="15" customHeight="1">
      <c r="A80" t="inlineStr">
        <is>
          <t>A 31622-2021</t>
        </is>
      </c>
      <c r="B80" s="1" t="n">
        <v>44369</v>
      </c>
      <c r="C80" s="1" t="n">
        <v>45180</v>
      </c>
      <c r="D80" t="inlineStr">
        <is>
          <t>UPPSALA LÄN</t>
        </is>
      </c>
      <c r="E80" t="inlineStr">
        <is>
          <t>ÖSTHAMMAR</t>
        </is>
      </c>
      <c r="G80" t="n">
        <v>12.6</v>
      </c>
      <c r="H80" t="n">
        <v>1</v>
      </c>
      <c r="I80" t="n">
        <v>0</v>
      </c>
      <c r="J80" t="n">
        <v>0</v>
      </c>
      <c r="K80" t="n">
        <v>0</v>
      </c>
      <c r="L80" t="n">
        <v>0</v>
      </c>
      <c r="M80" t="n">
        <v>0</v>
      </c>
      <c r="N80" t="n">
        <v>0</v>
      </c>
      <c r="O80" t="n">
        <v>0</v>
      </c>
      <c r="P80" t="n">
        <v>0</v>
      </c>
      <c r="Q80" t="n">
        <v>1</v>
      </c>
      <c r="R80" s="2" t="inlineStr">
        <is>
          <t>Mattlummer</t>
        </is>
      </c>
      <c r="S80">
        <f>HYPERLINK("https://klasma.github.io/Logging_OSTHAMMAR/artfynd/A 31622-2021.xlsx")</f>
        <v/>
      </c>
      <c r="T80">
        <f>HYPERLINK("https://klasma.github.io/Logging_OSTHAMMAR/kartor/A 31622-2021.png")</f>
        <v/>
      </c>
      <c r="V80">
        <f>HYPERLINK("https://klasma.github.io/Logging_OSTHAMMAR/klagomål/A 31622-2021.docx")</f>
        <v/>
      </c>
      <c r="W80">
        <f>HYPERLINK("https://klasma.github.io/Logging_OSTHAMMAR/klagomålsmail/A 31622-2021.docx")</f>
        <v/>
      </c>
      <c r="X80">
        <f>HYPERLINK("https://klasma.github.io/Logging_OSTHAMMAR/tillsyn/A 31622-2021.docx")</f>
        <v/>
      </c>
      <c r="Y80">
        <f>HYPERLINK("https://klasma.github.io/Logging_OSTHAMMAR/tillsynsmail/A 31622-2021.docx")</f>
        <v/>
      </c>
    </row>
    <row r="81" ht="15" customHeight="1">
      <c r="A81" t="inlineStr">
        <is>
          <t>A 46417-2021</t>
        </is>
      </c>
      <c r="B81" s="1" t="n">
        <v>44445</v>
      </c>
      <c r="C81" s="1" t="n">
        <v>45180</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45180</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45180</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45180</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45180</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45180</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45180</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45180</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45180</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45180</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45180</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45180</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45180</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45180</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45180</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45180</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45180</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45180</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45180</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45180</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45180</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45180</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45180</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45180</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45180</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45180</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45180</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45180</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45180</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45180</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45180</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45180</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45180</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45180</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45180</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45180</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45180</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45180</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45180</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45180</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45180</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45180</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45180</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45180</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45180</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45180</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45180</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45180</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45180</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45180</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45180</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45180</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45180</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45180</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45180</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45180</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45180</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45180</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45180</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45180</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45180</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45180</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45180</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45180</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45180</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45180</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45180</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45180</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45180</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45180</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45180</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45180</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45180</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45180</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45180</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45180</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45180</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45180</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45180</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45180</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45180</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45180</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45180</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45180</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45180</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45180</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45180</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45180</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45180</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45180</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45180</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45180</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45180</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45180</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45180</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45180</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45180</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45180</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45180</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45180</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45180</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45180</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45180</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45180</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45180</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45180</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45180</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45180</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45180</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45180</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45180</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45180</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45180</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45180</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45180</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45180</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45180</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45180</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45180</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45180</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45180</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45180</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45180</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45180</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45180</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45180</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45180</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45180</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45180</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45180</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45180</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45180</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45180</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45180</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45180</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45180</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45180</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45180</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45180</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45180</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45180</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45180</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45180</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45180</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45180</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45180</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45180</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45180</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45180</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45180</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45180</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45180</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45180</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45180</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45180</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45180</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45180</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45180</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45180</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45180</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45180</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45180</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45180</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45180</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45180</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45180</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45180</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45180</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45180</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45180</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45180</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45180</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45180</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45180</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45180</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45180</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45180</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45180</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45180</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45180</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45180</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45180</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45180</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45180</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45180</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45180</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45180</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45180</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45180</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45180</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45180</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45180</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45180</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45180</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45180</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45180</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45180</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45180</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45180</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45180</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45180</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45180</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45180</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45180</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45180</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45180</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45180</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45180</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45180</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45180</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45180</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45180</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45180</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45180</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45180</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45180</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45180</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45180</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45180</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45180</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45180</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45180</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45180</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45180</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45180</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45180</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45180</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45180</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45180</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45180</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45180</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45180</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45180</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45180</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45180</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45180</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45180</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45180</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45180</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45180</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45180</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45180</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45180</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45180</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45180</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45180</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45180</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45180</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45180</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45180</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45180</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45180</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45180</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45180</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45180</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45180</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45180</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45180</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45180</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45180</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45180</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45180</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45180</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45180</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45180</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45180</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45180</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45180</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45180</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45180</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45180</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45180</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45180</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45180</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45180</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45180</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45180</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45180</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45180</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45180</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45180</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45180</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45180</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45180</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45180</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45180</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45180</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45180</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45180</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45180</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45180</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45180</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45180</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45180</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45180</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45180</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45180</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45180</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45180</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45180</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45180</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45180</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45180</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45180</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45180</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45180</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45180</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45180</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45180</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45180</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45180</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45180</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45180</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45180</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45180</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45180</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45180</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45180</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45180</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45180</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45180</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45180</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45180</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45180</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45180</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45180</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45180</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45180</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45180</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45180</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45180</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45180</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45180</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45180</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45180</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45180</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45180</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45180</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45180</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45180</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45180</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45180</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45180</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45180</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45180</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45180</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45180</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45180</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45180</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45180</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45180</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45180</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45180</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45180</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45180</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45180</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45180</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45180</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45180</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45180</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45180</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45180</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45180</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45180</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45180</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45180</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45180</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45180</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45180</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45180</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45180</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45180</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45180</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45180</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45180</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45180</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45180</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45180</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45180</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45180</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45180</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45180</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45180</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45180</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45180</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45180</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45180</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45180</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45180</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45180</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45180</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45180</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45180</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45180</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45180</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45180</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45180</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45180</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45180</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45180</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45180</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45180</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45180</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45180</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45180</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45180</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45180</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45180</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45180</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45180</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45180</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45180</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45180</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45180</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45180</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45180</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45180</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45180</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45180</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45180</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45180</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45180</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45180</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45180</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45180</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45180</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45180</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45180</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45180</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45180</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45180</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45180</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45180</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45180</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45180</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45180</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45180</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45180</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45180</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45180</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45180</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45180</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45180</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45180</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45180</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45180</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45180</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45180</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45180</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45180</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45180</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45180</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45180</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45180</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45180</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45180</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45180</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45180</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45180</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45180</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45180</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45180</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45180</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45180</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45180</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45180</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45180</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45180</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45180</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45180</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45180</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45180</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45180</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45180</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45180</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45180</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45180</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45180</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45180</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45180</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45180</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45180</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45180</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45180</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45180</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45180</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45180</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45180</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45180</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45180</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45180</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45180</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45180</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45180</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45180</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45180</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45180</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45180</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45180</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45180</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45180</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45180</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45180</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45180</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45180</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45180</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45180</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45180</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45180</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45180</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45180</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45180</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45180</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45180</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45180</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45180</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45180</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45180</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45180</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45180</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45180</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45180</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45180</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45180</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45180</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45180</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45180</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45180</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45180</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45180</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45180</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45180</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45180</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2023-09-11T05:25:27Z</dcterms:created>
  <dcterms:modified xmlns:dcterms="http://purl.org/dc/terms/" xmlns:xsi="http://www.w3.org/2001/XMLSchema-instance" xsi:type="dcterms:W3CDTF">2023-09-11T05:25:27Z</dcterms:modified>
</cp:coreProperties>
</file>